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Tong hop" sheetId="1" r:id="rId1"/>
    <sheet name="CL" sheetId="2" r:id="rId2"/>
    <sheet name="CX" sheetId="3" r:id="rId3"/>
    <sheet name="DT" sheetId="4" r:id="rId4"/>
    <sheet name="HK" sheetId="5" r:id="rId5"/>
    <sheet name="KA" sheetId="6" r:id="rId6"/>
    <sheet name="LH" sheetId="7" r:id="rId7"/>
    <sheet name="NX" sheetId="8" r:id="rId8"/>
    <sheet name="VQ" sheetId="9" r:id="rId9"/>
    <sheet name="TH" sheetId="10" r:id="rId10"/>
    <sheet name="HS" sheetId="11" r:id="rId11"/>
    <sheet name="TPHT" sheetId="12" r:id="rId12"/>
  </sheets>
  <externalReferences>
    <externalReference r:id="rId15"/>
    <externalReference r:id="rId16"/>
  </externalReferences>
  <definedNames>
    <definedName name="_xlnm.Print_Area" localSheetId="1">'CL'!$A$1:$R$33</definedName>
    <definedName name="_xlnm.Print_Area" localSheetId="2">'CX'!$A$1:$Q$36</definedName>
    <definedName name="_xlnm.Print_Area" localSheetId="3">'DT'!$A$1:$AD$34</definedName>
    <definedName name="_xlnm.Print_Area" localSheetId="0">'Tong hop'!$A$1:$V$21</definedName>
  </definedNames>
  <calcPr fullCalcOnLoad="1"/>
</workbook>
</file>

<file path=xl/comments6.xml><?xml version="1.0" encoding="utf-8"?>
<comments xmlns="http://schemas.openxmlformats.org/spreadsheetml/2006/main">
  <authors>
    <author>Thanh An</author>
  </authors>
  <commentList>
    <comment ref="S7" authorId="0">
      <text>
        <r>
          <rPr>
            <b/>
            <sz val="8"/>
            <rFont val="Tahoma"/>
            <family val="2"/>
          </rPr>
          <t>Thanh An: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<sst xmlns="http://schemas.openxmlformats.org/spreadsheetml/2006/main" count="663" uniqueCount="467">
  <si>
    <t xml:space="preserve">ỦY BAN NHÂN DÂN </t>
  </si>
  <si>
    <t>CỘNG HÒA XÃ HỘI CHỦ NGHĨA VIỆT NAM</t>
  </si>
  <si>
    <t>HUYỆN CAN LỘC</t>
  </si>
  <si>
    <t>Độc Lập - Tự do - Hạnh Phúc</t>
  </si>
  <si>
    <t>(Kèm theo văn bản số        /SGTVT-KH ngày     tháng    năm 2014 của Sở giao thông vận tải)</t>
  </si>
  <si>
    <t>TT</t>
  </si>
  <si>
    <t>Tên xã, thị trấn</t>
  </si>
  <si>
    <t>Khối lượng đăng ký xây dựng đường GTNT năm 2014 có cam kết bố trí vốn</t>
  </si>
  <si>
    <t>Ghi chú</t>
  </si>
  <si>
    <t>Tổng cộng (km)</t>
  </si>
  <si>
    <t>Trong đó</t>
  </si>
  <si>
    <t>K lượng xi măng đã nhận (tấn)</t>
  </si>
  <si>
    <t>Đường trục xã (km)</t>
  </si>
  <si>
    <t>Đường t. thôn (km)</t>
  </si>
  <si>
    <t>Đường ngõ xóm (km)</t>
  </si>
  <si>
    <t>Đường nội đồng (km)</t>
  </si>
  <si>
    <t>Xã Thuần Thiện</t>
  </si>
  <si>
    <t>Xã Quang Lộc</t>
  </si>
  <si>
    <t>Xã Khánh Lộc</t>
  </si>
  <si>
    <t>Xã Trung Lộc</t>
  </si>
  <si>
    <t>Xã Vượng Lộc</t>
  </si>
  <si>
    <t>Xã Kim Lộc</t>
  </si>
  <si>
    <t>Xã Tùng Lộc</t>
  </si>
  <si>
    <t>Xã Đồng Lộc</t>
  </si>
  <si>
    <t>Xã Thượng Lộc</t>
  </si>
  <si>
    <t>Xã Phú Lộc</t>
  </si>
  <si>
    <t>Xã Gia Hanh</t>
  </si>
  <si>
    <t>Xã Tiến Lộc</t>
  </si>
  <si>
    <t>Xã Sơn Lộc</t>
  </si>
  <si>
    <t>Xã Xuân Lộc</t>
  </si>
  <si>
    <t>Xã Thanh Lộc</t>
  </si>
  <si>
    <t>Xã Song Lộc</t>
  </si>
  <si>
    <t>Xã Thiên Lộc</t>
  </si>
  <si>
    <t>Xã Trường Lộc</t>
  </si>
  <si>
    <t>Xã Yên Lộc</t>
  </si>
  <si>
    <t>Xã Vĩnh Lộc</t>
  </si>
  <si>
    <t>Xã Mỹ Lộc</t>
  </si>
  <si>
    <t>Xã Thường Nga</t>
  </si>
  <si>
    <t>Tổng cộng</t>
  </si>
  <si>
    <t>Kênh mương nội đồng</t>
  </si>
  <si>
    <t>BẢNG TỔNG HỢP KHỐI LƯỢNG LÀM GIAOTHÔNG NÔNG THÔN NĂM 2014 (ĐẾN NGÀY 5/5/2014)</t>
  </si>
  <si>
    <t>Đường vào trang tại tập trung</t>
  </si>
  <si>
    <t>Đường trục thôn (km)</t>
  </si>
  <si>
    <t>Khối lượng xi măng</t>
  </si>
  <si>
    <t>UBND HUYÖN CÈM XUY£N</t>
  </si>
  <si>
    <t>CéNG HßA X· HéI CHñ NGHÜA VIÖT NAM</t>
  </si>
  <si>
    <t>§éc lËp - Tù do - H¹nh phóc</t>
  </si>
  <si>
    <t>§¬n vÞ</t>
  </si>
  <si>
    <t>ChØ tiªu kÕ ho¹ch X©y dùng ®­êng BTXM</t>
  </si>
  <si>
    <t>Khèi l­îngxi m¨ng nhËn (tÊn)</t>
  </si>
  <si>
    <t xml:space="preserve">Tæng sè  (km) </t>
  </si>
  <si>
    <t>Trong ®ã:</t>
  </si>
  <si>
    <t>Khèi l­îng xi m¨ng (tÊn)</t>
  </si>
  <si>
    <t xml:space="preserve">§­êng trôc x·       </t>
  </si>
  <si>
    <t xml:space="preserve">§­êng trôc th«n, xãm        </t>
  </si>
  <si>
    <t xml:space="preserve">®­êng ngâ xãm </t>
  </si>
  <si>
    <t>§­êng trôc néi ®ång</t>
  </si>
  <si>
    <t>§­êng vµo khu ch¨n nu«i</t>
  </si>
  <si>
    <t>Tæng céng</t>
  </si>
  <si>
    <t xml:space="preserve">§­êng trôc néi ®ång  </t>
  </si>
  <si>
    <t>CÈm Minh</t>
  </si>
  <si>
    <t xml:space="preserve">CÈm LÜnh </t>
  </si>
  <si>
    <t>CÈm Trung</t>
  </si>
  <si>
    <t>CÈm L¹c</t>
  </si>
  <si>
    <t>CÈm Léc</t>
  </si>
  <si>
    <t>CÈm Hµ</t>
  </si>
  <si>
    <t>CÈm S¬n</t>
  </si>
  <si>
    <t>CÈm ThÞnh</t>
  </si>
  <si>
    <t>CÈm H­ng</t>
  </si>
  <si>
    <t>CÈm Mü</t>
  </si>
  <si>
    <t>CÈm DuÖ</t>
  </si>
  <si>
    <t>CÈm Th¹ch</t>
  </si>
  <si>
    <t>CÈm Quan</t>
  </si>
  <si>
    <t>CÈm VÜnh</t>
  </si>
  <si>
    <t>CÈm B×nh</t>
  </si>
  <si>
    <t>CÈm Thµnh</t>
  </si>
  <si>
    <t>CÈm Quang</t>
  </si>
  <si>
    <t>CÈm Huy</t>
  </si>
  <si>
    <t>CÈm Th¨ng</t>
  </si>
  <si>
    <t xml:space="preserve">CÈm Phóc </t>
  </si>
  <si>
    <t>TT. TCÇm</t>
  </si>
  <si>
    <t>CÈm Nh­îng</t>
  </si>
  <si>
    <t>CÈm Nam</t>
  </si>
  <si>
    <t>CÈm D­¬ng</t>
  </si>
  <si>
    <t>CÈm Yªn</t>
  </si>
  <si>
    <t>CÈm Hoµ</t>
  </si>
  <si>
    <t>TT.C Xuyªn</t>
  </si>
  <si>
    <t xml:space="preserve"> Céng</t>
  </si>
  <si>
    <t xml:space="preserve">                                                                                                                                                          Uû ban nh©n d©n huyÖn </t>
  </si>
  <si>
    <t>KẾT QỦA XÂY DỰNG ĐƯỜNG  BTXM ĐẾN THÁNG 5 NĂM 2014</t>
  </si>
  <si>
    <t>Kết quả thực hiện đến 5/2014</t>
  </si>
  <si>
    <r>
      <t xml:space="preserve">Xi m¨ng PCB40 </t>
    </r>
    <r>
      <rPr>
        <b/>
        <sz val="10"/>
        <rFont val="Times New Roman"/>
        <family val="1"/>
      </rPr>
      <t>đã nhận</t>
    </r>
    <r>
      <rPr>
        <b/>
        <sz val="10"/>
        <rFont val=".VnTime"/>
        <family val="2"/>
      </rPr>
      <t xml:space="preserve"> </t>
    </r>
    <r>
      <rPr>
        <b/>
        <sz val="10"/>
        <rFont val="Times New Roman"/>
        <family val="1"/>
      </rPr>
      <t>đến</t>
    </r>
    <r>
      <rPr>
        <b/>
        <sz val="10"/>
        <rFont val=".VnTime"/>
        <family val="2"/>
      </rPr>
      <t xml:space="preserve"> 5/20014 </t>
    </r>
  </si>
  <si>
    <t>Trong ®ã</t>
  </si>
  <si>
    <t>Khèi l­îng(tÊn)</t>
  </si>
  <si>
    <t>§­êng trôc x·       (194,67t/km)</t>
  </si>
  <si>
    <t>§­êng trôc th«n, xãm        (173,04t/km)</t>
  </si>
  <si>
    <t>®­êng ngâ xãm (111,72t/km)</t>
  </si>
  <si>
    <t>§­êng trôc néi ®ång  (111,72t/km)</t>
  </si>
  <si>
    <t>§­êng vµo khu ch¨n nu«i(127,68t/km)</t>
  </si>
  <si>
    <t>Tæng</t>
  </si>
  <si>
    <t>UBND HUYỆN ĐỨC THỌ</t>
  </si>
  <si>
    <t>Độc lập - Tự do - Hạnh phúc</t>
  </si>
  <si>
    <t>Đơn vị</t>
  </si>
  <si>
    <t>Khối lượng đăng ký</t>
  </si>
  <si>
    <t>Tổng
khối lượng
XM</t>
  </si>
  <si>
    <t>Đ
K</t>
  </si>
  <si>
    <t>Máy 
trộn</t>
  </si>
  <si>
    <t>Khối lượng xi măng đã nhận</t>
  </si>
  <si>
    <t>Đường trục thôn</t>
  </si>
  <si>
    <t>Đường ngõ xóm</t>
  </si>
  <si>
    <t>Đường trục chính GTNĐ</t>
  </si>
  <si>
    <t>Ước XM nhận</t>
  </si>
  <si>
    <t>KL xã Đăng ký thực hiện</t>
  </si>
  <si>
    <t>Đường trục chính nội đồng</t>
  </si>
  <si>
    <t>Đức Lạng</t>
  </si>
  <si>
    <t>Đức Đồng</t>
  </si>
  <si>
    <t>Đức Lạc</t>
  </si>
  <si>
    <t>Đức Hòa</t>
  </si>
  <si>
    <t>Đức Long</t>
  </si>
  <si>
    <t>Đức Lập</t>
  </si>
  <si>
    <t>Đức An</t>
  </si>
  <si>
    <t>Đức Dũng</t>
  </si>
  <si>
    <t>1km NX và 1km NĐ</t>
  </si>
  <si>
    <t>Đức Lâm</t>
  </si>
  <si>
    <t xml:space="preserve">600m NĐ, 670m TT và 500NX </t>
  </si>
  <si>
    <t>Đức Thanh</t>
  </si>
  <si>
    <t>0,4km NĐ và 3km NX</t>
  </si>
  <si>
    <t>Đức Thủy</t>
  </si>
  <si>
    <t>1km NĐ</t>
  </si>
  <si>
    <t>Trung Lễ</t>
  </si>
  <si>
    <t>Đức Thịnh</t>
  </si>
  <si>
    <t>Thái Yên</t>
  </si>
  <si>
    <t>Yên Hồ</t>
  </si>
  <si>
    <t>Đức Nhân</t>
  </si>
  <si>
    <t>Bùi Xá</t>
  </si>
  <si>
    <t>Đức Yên</t>
  </si>
  <si>
    <t>Thị trấn</t>
  </si>
  <si>
    <t>Tùng Ảnh</t>
  </si>
  <si>
    <t>Trường Sơn</t>
  </si>
  <si>
    <t>Liên Minh</t>
  </si>
  <si>
    <t>500m NX</t>
  </si>
  <si>
    <t>Đức Tùng</t>
  </si>
  <si>
    <t>Đức Châu</t>
  </si>
  <si>
    <t>200m NĐ và 300m NX</t>
  </si>
  <si>
    <t>Đức La</t>
  </si>
  <si>
    <t>Đức Quang</t>
  </si>
  <si>
    <t>Đức Vĩnh</t>
  </si>
  <si>
    <t>Tân Hương</t>
  </si>
  <si>
    <t xml:space="preserve"> </t>
  </si>
  <si>
    <t xml:space="preserve">ñy ban nh©n d©n  </t>
  </si>
  <si>
    <t>CỘNG HOÀ XÃ HỘI CHỦ NGHĨA VIỆT NAM</t>
  </si>
  <si>
    <t xml:space="preserve">HUYÖN H¦¥NG KH£  </t>
  </si>
  <si>
    <t xml:space="preserve">         Độc lập - Tự do - Hạnh phúc</t>
  </si>
  <si>
    <t>§éc lËp- Tù do-H¹nh phóc</t>
  </si>
  <si>
    <t>KHỐI LƯỢNG ĐƯỜNG GTNT ĐƯỢC HƯỞNG CƠ CHẾ HỖ TRỢ XI MĂNG (KM)</t>
  </si>
  <si>
    <t>Tổng khối lượng xi măng (T)</t>
  </si>
  <si>
    <t>TỔNG KHỐI LƯỢNG XI MĂNG HỖ TRỢ LÀM ĐƯỜNG GTNT VÀ KMNĐ
(TẤN)</t>
  </si>
  <si>
    <t>Tổng số</t>
  </si>
  <si>
    <t>Đường trục xã</t>
  </si>
  <si>
    <t>Đường trục thôn xóm</t>
  </si>
  <si>
    <t xml:space="preserve">Đường ngõ xóm </t>
  </si>
  <si>
    <t xml:space="preserve">Trục chính nội đồng </t>
  </si>
  <si>
    <t xml:space="preserve">Đường vào khu sản xuất, chăn nuôi </t>
  </si>
  <si>
    <t>Kênh mương</t>
  </si>
  <si>
    <t>Hương Trạch</t>
  </si>
  <si>
    <t>Phúc Trạch</t>
  </si>
  <si>
    <t>Hương Đô</t>
  </si>
  <si>
    <t>Lộc Yên</t>
  </si>
  <si>
    <t>Hương Liên</t>
  </si>
  <si>
    <t>Hương Lâm</t>
  </si>
  <si>
    <t>Hương Trà</t>
  </si>
  <si>
    <t>Hương Xuân</t>
  </si>
  <si>
    <t>Phú Phong</t>
  </si>
  <si>
    <t>Hương Vĩnh</t>
  </si>
  <si>
    <t xml:space="preserve">Phú Gia </t>
  </si>
  <si>
    <t>Hương Long</t>
  </si>
  <si>
    <t>Hương Bình</t>
  </si>
  <si>
    <t>Hoà Hải</t>
  </si>
  <si>
    <t>Gia Phố</t>
  </si>
  <si>
    <t>Hương Giang</t>
  </si>
  <si>
    <t xml:space="preserve">Hương Thuỷ </t>
  </si>
  <si>
    <t>Phúc Đồng</t>
  </si>
  <si>
    <t>Hà Linh</t>
  </si>
  <si>
    <t>Phương Điền</t>
  </si>
  <si>
    <t>Phương Mỹ</t>
  </si>
  <si>
    <t>TỔNG CỘNG</t>
  </si>
  <si>
    <t xml:space="preserve">                                                                                          </t>
  </si>
  <si>
    <t xml:space="preserve"> TM. ỦY BAN NHÂN DÂN</t>
  </si>
  <si>
    <t>KT. CHỦ TỊCH</t>
  </si>
  <si>
    <t>PHÓ CHỦ TỊCH</t>
  </si>
  <si>
    <t xml:space="preserve">                                                                                                                                          </t>
  </si>
  <si>
    <t>Nguyễn Văn Việt</t>
  </si>
  <si>
    <t>ỦY BAN NHÂN DÂN</t>
  </si>
  <si>
    <t>HUYỆN KỲ ANH</t>
  </si>
  <si>
    <t>Huyện Kỳ Anh</t>
  </si>
  <si>
    <t>Khối lượng đăng ký xây dựng đường GTNT năm 2014 có cam kết bố trí nguồn vốn</t>
  </si>
  <si>
    <t>Khối lượng thực hiện tháng đến 27/4/2014</t>
  </si>
  <si>
    <t>Khối lượng xi măng 
(T)</t>
  </si>
  <si>
    <t>Đánh giá mức độ hoàn thành theo kế hoạch (%)</t>
  </si>
  <si>
    <t>Kiểm tra nền đường</t>
  </si>
  <si>
    <t>Tổng cộng (Km)</t>
  </si>
  <si>
    <t>Trong đó:</t>
  </si>
  <si>
    <t>Tổng cộng  (Km)</t>
  </si>
  <si>
    <t>Khối lượng xi măng nhận      (T)</t>
  </si>
  <si>
    <t>Khối lượng xi măng đã nhận      (T)</t>
  </si>
  <si>
    <t>Đường trục thôn, xóm (Km)</t>
  </si>
  <si>
    <t>Đường Ngõ xóm  (Km)</t>
  </si>
  <si>
    <t>Đường trục chính nội đồng (Km)</t>
  </si>
  <si>
    <t>Đường vào khu chăn nuôi tập trung (Km)</t>
  </si>
  <si>
    <t>Đường trục thôn, xóm  (Km)</t>
  </si>
  <si>
    <t>Đường Ngõ xóm   (Km)</t>
  </si>
  <si>
    <t>Đường trục chính nội đồng  (Km)</t>
  </si>
  <si>
    <t>Đường vào khu chăn nuôi tập trung   (Km)</t>
  </si>
  <si>
    <t>Đường trục thôn, xóm   (Km)</t>
  </si>
  <si>
    <t>Đường vào khu chăn nuôi tập trung  (Km)</t>
  </si>
  <si>
    <t>Kỳ Phong</t>
  </si>
  <si>
    <t>Kỳ Bắc</t>
  </si>
  <si>
    <t>Kỳ Tiến</t>
  </si>
  <si>
    <t>Kỳ Xuân</t>
  </si>
  <si>
    <t>Kỳ Giang</t>
  </si>
  <si>
    <t>Kỳ Đồng</t>
  </si>
  <si>
    <t>Kỳ Phú</t>
  </si>
  <si>
    <t>Kỳ Khang</t>
  </si>
  <si>
    <t>Kỳ Thọ</t>
  </si>
  <si>
    <t>Kỳ Văn</t>
  </si>
  <si>
    <t>Kỳ Hoa</t>
  </si>
  <si>
    <t>Kỳ Thư</t>
  </si>
  <si>
    <t>Kỳ Hải</t>
  </si>
  <si>
    <t xml:space="preserve">Kỳ Hà </t>
  </si>
  <si>
    <t>Kỳ Ninh</t>
  </si>
  <si>
    <t>Kỳ Châu</t>
  </si>
  <si>
    <t>Kỳ Trinh</t>
  </si>
  <si>
    <t>Kỳ Lâm</t>
  </si>
  <si>
    <t>Kỳ Sơn</t>
  </si>
  <si>
    <t>Kỳ Thượng</t>
  </si>
  <si>
    <t>Kỳ Lạc</t>
  </si>
  <si>
    <t>Kỳ Tây</t>
  </si>
  <si>
    <t>Kỳ Hợp</t>
  </si>
  <si>
    <t>Kỳ Trung</t>
  </si>
  <si>
    <t>Kỳ Long</t>
  </si>
  <si>
    <t>Kỳ Liên</t>
  </si>
  <si>
    <t>Kỳ Thịnh</t>
  </si>
  <si>
    <t>HUYỆN LỘC HÀ</t>
  </si>
  <si>
    <t>UBND HUYỆN LỘC HÀ</t>
  </si>
  <si>
    <t>Địa phương</t>
  </si>
  <si>
    <t>Khối lượng XM theo KH
 (Tấn)</t>
  </si>
  <si>
    <t>Khối lượng XM đã nhận
 (Tấn)</t>
  </si>
  <si>
    <t xml:space="preserve">Tổng cộng </t>
  </si>
  <si>
    <t>Đường trục thôn, xóm</t>
  </si>
  <si>
    <t>Đường ngõ, xóm</t>
  </si>
  <si>
    <t xml:space="preserve"> An Lộc</t>
  </si>
  <si>
    <t>Phù Lưu</t>
  </si>
  <si>
    <t>Thạch Mỹ</t>
  </si>
  <si>
    <t>Thạch Kim</t>
  </si>
  <si>
    <t>Bình Lộc</t>
  </si>
  <si>
    <t>Thịnh Lộc</t>
  </si>
  <si>
    <t>Tân Lộc</t>
  </si>
  <si>
    <t>Mai Phụ</t>
  </si>
  <si>
    <t>Hồng Lộc</t>
  </si>
  <si>
    <t>Thạch Châu</t>
  </si>
  <si>
    <t>Thạch Bằng</t>
  </si>
  <si>
    <t>Hộ Độ</t>
  </si>
  <si>
    <t>Ích Hậu</t>
  </si>
  <si>
    <t>HUYỆN NGHI XUÂN</t>
  </si>
  <si>
    <t>Xi măng (tấn)</t>
  </si>
  <si>
    <t>Tổng cộng khối lượng xi măng (tấn)</t>
  </si>
  <si>
    <t>Khối lượng xi măng nhận
(T)</t>
  </si>
  <si>
    <t>Tổng số 
(km)</t>
  </si>
  <si>
    <t>Đường trục xã
(km)</t>
  </si>
  <si>
    <t>Đường trục thôn xóm 
(km)</t>
  </si>
  <si>
    <t>Đường ngõ xóm
(km)</t>
  </si>
  <si>
    <t>Đường trục chính nội đồng 
(km)</t>
  </si>
  <si>
    <t>Đường vào khu chăn nuôi tập trung
(km)</t>
  </si>
  <si>
    <t xml:space="preserve">Đường trục thôn xóm
(tỷ lệ tỉnh, huyện, xã: 40%,20%,40%)
</t>
  </si>
  <si>
    <t>Đường ngõ xóm 
(tỷ lệ tỉnh, huyện, xã: 30%,10%,60%)</t>
  </si>
  <si>
    <t xml:space="preserve">Đường trục chính nội đồng 
(tỷ lệ tỉnh, huyện, xã: 60%,30%,10%)
 </t>
  </si>
  <si>
    <t>Đường vào khu chăn nuôi tập trung (tỉnh 100%)</t>
  </si>
  <si>
    <t>Xã Tiên Điền</t>
  </si>
  <si>
    <t>Xã Xuân Hồng</t>
  </si>
  <si>
    <t>Xã Xuân Lam</t>
  </si>
  <si>
    <t>Xã Xuân Hải</t>
  </si>
  <si>
    <t>Xã Xuân Phổ</t>
  </si>
  <si>
    <t>Xã Xuân Đan</t>
  </si>
  <si>
    <t>Xã Xuân Trường</t>
  </si>
  <si>
    <t>Xã Xuân Hội</t>
  </si>
  <si>
    <t>Xã Xuân Yên</t>
  </si>
  <si>
    <t>Xã Xuân Thành</t>
  </si>
  <si>
    <t>Xã Cổ Đạm</t>
  </si>
  <si>
    <t>Xã Xuân Liên</t>
  </si>
  <si>
    <t>Xã Cương Gián</t>
  </si>
  <si>
    <t>Xã Xuân Mỹ</t>
  </si>
  <si>
    <t>Xã Xuân Viên</t>
  </si>
  <si>
    <t>Xã Xuân Lĩnh</t>
  </si>
  <si>
    <t>Xã Xuân Giang</t>
  </si>
  <si>
    <t>Tổng cộng :</t>
  </si>
  <si>
    <t>ỦY BAN NHÂN DÂN
HUYỆN VŨ QUANG</t>
  </si>
  <si>
    <r>
      <t>CỘNG HÒA XÃ HỘI CHỦ NGHĨA VIỆT NAM</t>
    </r>
    <r>
      <rPr>
        <b/>
        <sz val="14"/>
        <rFont val="Times New Roman"/>
        <family val="1"/>
      </rPr>
      <t xml:space="preserve">
Độc lập - Tự do - Hạnh phúc</t>
    </r>
  </si>
  <si>
    <t>BẢNG TỔNG HỢP KHỐI LƯỢNG LÀM ĐƯỜNG GTNT NĂM 2014
(Khối lượng đến ngày 05 tháng 5 năm 2014)</t>
  </si>
  <si>
    <t>Huyện 
Vũ 
Quang</t>
  </si>
  <si>
    <t>Tổng khối lượng xi măng năm 2014 (T)</t>
  </si>
  <si>
    <t>Đánh giá 
mức độ hoàn thành theo kế hoạch (%)</t>
  </si>
  <si>
    <t>Ghi 
chú</t>
  </si>
  <si>
    <t>Tổng 
cộng 
(km)</t>
  </si>
  <si>
    <t>Tổng cộng 
(km)</t>
  </si>
  <si>
    <t>Khối lượng 
xi măng nhận (T)</t>
  </si>
  <si>
    <t>Đường trục 
thôn, xóm (km)</t>
  </si>
  <si>
    <t>Đường ngõ 
thôn, xóm (km)</t>
  </si>
  <si>
    <t>Đường trục 
chính nội đồng (km)</t>
  </si>
  <si>
    <t>Đường vào 
khu chăn nuôi tập trung (km)</t>
  </si>
  <si>
    <t>15=9/3
*(%)</t>
  </si>
  <si>
    <t>Xã Ân Phú</t>
  </si>
  <si>
    <t>Xã Đức Giang</t>
  </si>
  <si>
    <t>Xã Đức Lĩnh</t>
  </si>
  <si>
    <t>Xã Đức Bồng</t>
  </si>
  <si>
    <t>Xã Đức Hương</t>
  </si>
  <si>
    <t>Xã Đức Liên</t>
  </si>
  <si>
    <t>Xã Hương Thọ</t>
  </si>
  <si>
    <t>Xã Sơn Thọ</t>
  </si>
  <si>
    <t>XÃ, THỊ TRẤN</t>
  </si>
  <si>
    <t>CHỈ TIÊU, KẾ HOẠCH ĐƯỢC GIAO NĂM 2014</t>
  </si>
  <si>
    <t>TRONG ĐÓ SỐ LƯỢNG XI MĂNG PC40 CÁC CẤP HỖ TRỢ (Tấn)</t>
  </si>
  <si>
    <t>Khối lượng xi măng nhận</t>
  </si>
  <si>
    <t>TỔNG SỐ (Km)</t>
  </si>
  <si>
    <t>ĐƯỜNG TRỤC THÔN XÓM (Km)</t>
  </si>
  <si>
    <t>ĐƯỜNG NGÕ XÓM (Km)</t>
  </si>
  <si>
    <t>ĐƯỜNG TRỤC CHÍNH NỘI ĐỒNG (Km)</t>
  </si>
  <si>
    <t>CẤP TỈNH</t>
  </si>
  <si>
    <t>CẤP HUYỆN</t>
  </si>
  <si>
    <t>CẤP XÃ</t>
  </si>
  <si>
    <t>ĐƯỜNG TRỤC THÔN, XÓM (69 Tấn)</t>
  </si>
  <si>
    <t>ĐƯỜNG NGÕ XÓM (34 Tấn)</t>
  </si>
  <si>
    <t>ĐƯỜNG TRỤC CHÍNH NỘI ĐỒNG (67 Tấn)</t>
  </si>
  <si>
    <t>ĐƯỜNG TRỤC THÔN, XÓM (50 Tấn)</t>
  </si>
  <si>
    <t>ĐƯỜNG NGÕ XÓM (50 Tấn)</t>
  </si>
  <si>
    <t>ĐƯỜNG TRỤC CHÍNH NỘI ĐỒNG (34 Tấn)</t>
  </si>
  <si>
    <t>ĐƯỜNG TRỤC THÔN, XÓM (54 Tấn)</t>
  </si>
  <si>
    <t>ĐƯỜNG NGÕ XÓM (28 Tấn)</t>
  </si>
  <si>
    <t>ĐƯỜNG TRỤC CHÍNH NỘI ĐỒNG (11 Tấn)</t>
  </si>
  <si>
    <t>Tổng cộng:</t>
  </si>
  <si>
    <t>Thạch Kênh</t>
  </si>
  <si>
    <t>Thạch Liên</t>
  </si>
  <si>
    <t>Việt Xuyên</t>
  </si>
  <si>
    <t xml:space="preserve">Phù Việt </t>
  </si>
  <si>
    <t>Thạch Long</t>
  </si>
  <si>
    <t xml:space="preserve">Thạch Sơn </t>
  </si>
  <si>
    <t>TTr Thạch Hà</t>
  </si>
  <si>
    <t xml:space="preserve">Thạch Thanh </t>
  </si>
  <si>
    <t xml:space="preserve">Thạch Tiến </t>
  </si>
  <si>
    <t>Thạch Ngọc</t>
  </si>
  <si>
    <t xml:space="preserve">Ngọc Sơn </t>
  </si>
  <si>
    <t xml:space="preserve">Bắc Sơn </t>
  </si>
  <si>
    <t xml:space="preserve">Thạch Xuân </t>
  </si>
  <si>
    <t xml:space="preserve">Thạch Hương </t>
  </si>
  <si>
    <t xml:space="preserve">Tượng Sơn </t>
  </si>
  <si>
    <t>Thạch Thắng</t>
  </si>
  <si>
    <t xml:space="preserve">Thạch Điền </t>
  </si>
  <si>
    <t xml:space="preserve">Nam Hương </t>
  </si>
  <si>
    <t xml:space="preserve">Thạch Lâm </t>
  </si>
  <si>
    <t xml:space="preserve">Thạch Tân </t>
  </si>
  <si>
    <t xml:space="preserve">Thạch Đài </t>
  </si>
  <si>
    <t>Thạch Lưu</t>
  </si>
  <si>
    <t xml:space="preserve">Thạch Vĩnh </t>
  </si>
  <si>
    <t>Thạch Khê</t>
  </si>
  <si>
    <t xml:space="preserve">Thạch Đỉnh </t>
  </si>
  <si>
    <t xml:space="preserve">Thạch Hải </t>
  </si>
  <si>
    <t xml:space="preserve">Thạch Bàn </t>
  </si>
  <si>
    <t xml:space="preserve">Thạch Văn </t>
  </si>
  <si>
    <t xml:space="preserve">Thạch Hội </t>
  </si>
  <si>
    <t xml:space="preserve">Thạch Trị </t>
  </si>
  <si>
    <t xml:space="preserve">Thạch Lạc </t>
  </si>
  <si>
    <t>ỦY BAN NHÂN DÂN HUYỆN</t>
  </si>
  <si>
    <t>CỘNG HÒA XÃ HỘI CHỦ NGHĨA VIỆT NAM
Độc lập - Tự do - Hạnh phúc</t>
  </si>
  <si>
    <t>ỦY BAN NHÂN DÂN
HUYỆN THẠCH HÀ</t>
  </si>
  <si>
    <t>HUYỆN HƯƠNG SƠN</t>
  </si>
  <si>
    <t>Khối lượng đăng ký (km)</t>
  </si>
  <si>
    <t xml:space="preserve">Tổng Khối lượng xi măng hỗ trợ </t>
  </si>
  <si>
    <t>Tổng cộng 
 (km)</t>
  </si>
  <si>
    <t>Đường trục thôn xóm
 (km)</t>
  </si>
  <si>
    <t>Đường trục chính nội đồng
 (km)</t>
  </si>
  <si>
    <t>Đường vào khu SX, chăn nuôi tập trung
(km)</t>
  </si>
  <si>
    <t>Xã Sơn Châu</t>
  </si>
  <si>
    <t>Xã Sơn Bình</t>
  </si>
  <si>
    <t>Xã Sơn Hà</t>
  </si>
  <si>
    <t>Xã Sơn Trà</t>
  </si>
  <si>
    <t>Xã Sơn Long</t>
  </si>
  <si>
    <t>Xã Sơn Tân</t>
  </si>
  <si>
    <t>Xã Sơn Mỹ</t>
  </si>
  <si>
    <t>Xã Sơn Ninh</t>
  </si>
  <si>
    <t>Xã Sơn Thịnh</t>
  </si>
  <si>
    <t>Xã Sơn Hoà</t>
  </si>
  <si>
    <t>Xã Sơn An</t>
  </si>
  <si>
    <t>Xã Sơn Lễ</t>
  </si>
  <si>
    <t>Xã Sơn Tiến</t>
  </si>
  <si>
    <t>Xã Sơn Bằng</t>
  </si>
  <si>
    <t>Xã Sơn Trung</t>
  </si>
  <si>
    <t>Xã Sơn Phú</t>
  </si>
  <si>
    <t>Xã Sơn Phúc</t>
  </si>
  <si>
    <t>Xã Sơn Mai</t>
  </si>
  <si>
    <t>Xã Sơn Thủy</t>
  </si>
  <si>
    <t>Xã Sơn Trường</t>
  </si>
  <si>
    <t>Xã Sơn Hàm</t>
  </si>
  <si>
    <t>Xã Sơn Diệm</t>
  </si>
  <si>
    <t>Xã Sơn Giang</t>
  </si>
  <si>
    <t>Xã Sơn Quang</t>
  </si>
  <si>
    <t>Xã Sơn Lâm</t>
  </si>
  <si>
    <t>Xã Sơn Tây</t>
  </si>
  <si>
    <t>Xã Sơn Lĩnh</t>
  </si>
  <si>
    <t>Xã Sơn Hồng</t>
  </si>
  <si>
    <t>Xã Sơn Kim 1</t>
  </si>
  <si>
    <t>Xã Sơn Kim 2</t>
  </si>
  <si>
    <t>Ghi chú: Điều chỉnh tạm cắt khối lượng một số xã như sau: S.Ninh 2km; S.Lễ 1,5km; S.Tiến 2km; S.Hàm 1km; S.Diệm 0,4km; S.Hồng 1km; S.Kim2 0,5km</t>
  </si>
  <si>
    <t xml:space="preserve"> - Chủng loại xi măng sử dụng là PCB40;</t>
  </si>
  <si>
    <t xml:space="preserve"> - Bê tông sử dụng đá 1x2 (2x4), độ sụt 2-4 cm</t>
  </si>
  <si>
    <t>Huyện, thị xã,
 thành phố</t>
  </si>
  <si>
    <t>Tổng cộng
(km)</t>
  </si>
  <si>
    <t>Tổng khối lượng xi măng 
(tấn)</t>
  </si>
  <si>
    <t>Đường trục thôn, xóm
(km)</t>
  </si>
  <si>
    <t>Đường ngõ, xóm
(km)</t>
  </si>
  <si>
    <t>Đường trục chính nội đồng
(km)</t>
  </si>
  <si>
    <t>I</t>
  </si>
  <si>
    <t>Các xã không thuộc 30b</t>
  </si>
  <si>
    <t>Huyện Cẩm Xuyên</t>
  </si>
  <si>
    <t>Thành phố Hà Tĩnh</t>
  </si>
  <si>
    <t>Huyện Thạch Hà</t>
  </si>
  <si>
    <t>Huyện Can Lộc</t>
  </si>
  <si>
    <t>Thị xã Hồng Lĩnh</t>
  </si>
  <si>
    <t>Huyện Nghi Xuân</t>
  </si>
  <si>
    <t>Huyện Đức Thọ</t>
  </si>
  <si>
    <t>Huyện Hương Sơn</t>
  </si>
  <si>
    <t>Huyện Lộc Hà</t>
  </si>
  <si>
    <t>II</t>
  </si>
  <si>
    <t>Các xã  30b</t>
  </si>
  <si>
    <t>Huyện Hương Khê</t>
  </si>
  <si>
    <t>Huyện Vũ Quang</t>
  </si>
  <si>
    <t>Giá VLXD (quý 4/2013, TP HT)</t>
  </si>
  <si>
    <t xml:space="preserve">   PCB40</t>
  </si>
  <si>
    <t>đ/kg</t>
  </si>
  <si>
    <t xml:space="preserve">Định mức xi măng </t>
  </si>
  <si>
    <t xml:space="preserve">   Trục xã</t>
  </si>
  <si>
    <t>tấn/km</t>
  </si>
  <si>
    <t xml:space="preserve">   Trục thôn</t>
  </si>
  <si>
    <t xml:space="preserve">   Ngõ xóm</t>
  </si>
  <si>
    <t xml:space="preserve">   Nội đồng</t>
  </si>
  <si>
    <t xml:space="preserve">   Chăn nuôi</t>
  </si>
  <si>
    <t>Xã Thạch Trung</t>
  </si>
  <si>
    <t>Xã Thạch Môn</t>
  </si>
  <si>
    <t>Xã Thạch Bình</t>
  </si>
  <si>
    <t>xã Thạch Đồng</t>
  </si>
  <si>
    <t>xã Thạch Hưng</t>
  </si>
  <si>
    <t>xã Thạch Hạ</t>
  </si>
  <si>
    <t>THÀNH PHỐ HÀ TĨNH</t>
  </si>
  <si>
    <t>SỞ GIAO THÔNG VẬN TẢI</t>
  </si>
  <si>
    <t>Đường trục chính nội đồng (km)</t>
  </si>
  <si>
    <t>Đường vào khu chăn nuôi tập trung (km)</t>
  </si>
  <si>
    <t>Đánh giá mức độ hoàn thành so với KH (%)</t>
  </si>
  <si>
    <t>Tổng số (km)</t>
  </si>
  <si>
    <t>Khối lượng xi măng làm GT nhận
(tấn)</t>
  </si>
  <si>
    <t>Khối lượng xi măng đã nhận
(T)</t>
  </si>
  <si>
    <t>Đường làm ngoài cơ chế hỗ trợ xi măng năm 2014</t>
  </si>
  <si>
    <t>Tổng đường nhựa, BTXM GTNT toàn tỉnh
năm 2014 
(km)</t>
  </si>
  <si>
    <t>Dân tự đóng góp thực hiện
(km)</t>
  </si>
  <si>
    <t>Đường dự án lồng ghép (km)</t>
  </si>
  <si>
    <t>Khối lượng thực hiện đến thời điểm báo cáo</t>
  </si>
  <si>
    <r>
      <t xml:space="preserve">Ghi chú
</t>
    </r>
    <r>
      <rPr>
        <sz val="10"/>
        <rFont val="Times New Roman"/>
        <family val="1"/>
      </rPr>
      <t>(Tăng so với tuần trước - km)</t>
    </r>
  </si>
  <si>
    <t>UBND TỈNH HÀ TĨNH</t>
  </si>
  <si>
    <t>Kết quả thực hiện luỹ kế đến thời điểm báo cáo</t>
  </si>
  <si>
    <t>BÁO CÁO KẾT QUẢ THỰC HIỆN XÂY DỰNG ĐƯỜNG GTNT ĐẾN NGÀY 14/8/2014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</si>
</sst>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0.0"/>
    <numFmt numFmtId="174" formatCode="0.000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_(* #,##0.000_);_(* \(#,##0.000\);_(* &quot;-&quot;???_);_(@_)"/>
    <numFmt numFmtId="179" formatCode="#,##0.000"/>
    <numFmt numFmtId="180" formatCode="_(* #,##0.0_);_(* \(#,##0.0\);_(* &quot;-&quot;_);_(@_)"/>
    <numFmt numFmtId="181" formatCode="_-* #,##0.0\ _₫_-;\-* #,##0.0\ _₫_-;_-* &quot;-&quot;??\ _₫_-;_-@_-"/>
    <numFmt numFmtId="182" formatCode="_-* #,##0\ _₫_-;\-* #,##0\ _₫_-;_-* &quot;-&quot;??\ _₫_-;_-@_-"/>
    <numFmt numFmtId="183" formatCode="_(* #,##0.00_);_(* \(#,##0.00\);_(* &quot;-&quot;_);_(@_)"/>
    <numFmt numFmtId="184" formatCode="_(* #,##0.000_);_(* \(#,##0.000\);_(* &quot;-&quot;_);_(@_)"/>
    <numFmt numFmtId="185" formatCode="_-* #,##0.0\ _₫_-;\-* #,##0.0\ _₫_-;_-* &quot;-&quot;?\ _₫_-;_-@_-"/>
    <numFmt numFmtId="186" formatCode="0.0%"/>
    <numFmt numFmtId="187" formatCode="_(&quot;R&quot;* #,##0_);_(&quot;R&quot;* \(#,##0\);_(&quot;R&quot;* &quot;-&quot;_);_(@_)"/>
    <numFmt numFmtId="188" formatCode="_(&quot;R&quot;* #,##0.00_);_(&quot;R&quot;* \(#,##0.00\);_(&quot;R&quot;* &quot;-&quot;??_);_(@_)"/>
    <numFmt numFmtId="189" formatCode="#,##0\ &quot;F&quot;;[Red]\-#,##0\ &quot;F&quot;"/>
    <numFmt numFmtId="190" formatCode="#,##0.00\ &quot;F&quot;;\-#,##0.00\ &quot;F&quot;"/>
    <numFmt numFmtId="191" formatCode="&quot;$&quot;#,##0;[Red]\-&quot;$&quot;#,##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\ &quot;kr&quot;;\-#,##0\ &quot;kr&quot;"/>
    <numFmt numFmtId="197" formatCode="0.000%"/>
    <numFmt numFmtId="198" formatCode="00.000"/>
    <numFmt numFmtId="199" formatCode="&quot;￥&quot;#,##0;&quot;￥&quot;\-#,##0"/>
    <numFmt numFmtId="200" formatCode="#,##0\ &quot;DM&quot;;\-#,##0\ &quot;DM&quot;"/>
    <numFmt numFmtId="201" formatCode="&quot;\&quot;#,##0;[Red]&quot;\&quot;\-#,##0"/>
    <numFmt numFmtId="202" formatCode="&quot;\&quot;#,##0.00;[Red]&quot;\&quot;\-#,##0.00"/>
    <numFmt numFmtId="203" formatCode="\$#,##0\ ;\(\$#,##0\)"/>
    <numFmt numFmtId="204" formatCode="&quot;?&quot;#,##0;&quot;?&quot;\-#,##0"/>
    <numFmt numFmtId="205" formatCode="_-&quot;£&quot;* #,##0_-;\-&quot;£&quot;* #,##0_-;_-&quot;£&quot;* &quot;-&quot;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_);_(* \(#,##0.0\);_(* &quot;-&quot;?_);_(@_)"/>
    <numFmt numFmtId="211" formatCode="_-* #,##0.000\ _₫_-;\-* #,##0.000\ _₫_-;_-* &quot;-&quot;??\ _₫_-;_-@_-"/>
    <numFmt numFmtId="212" formatCode="_-* #,##0.0000\ _₫_-;\-* #,##0.0000\ _₫_-;_-* &quot;-&quot;??\ _₫_-;_-@_-"/>
    <numFmt numFmtId="213" formatCode="_-* #,##0.00000\ _₫_-;\-* #,##0.00000\ _₫_-;_-* &quot;-&quot;??\ _₫_-;_-@_-"/>
    <numFmt numFmtId="214" formatCode="_-* #,##0.000000\ _₫_-;\-* #,##0.000000\ _₫_-;_-* &quot;-&quot;??\ _₫_-;_-@_-"/>
  </numFmts>
  <fonts count="131">
    <font>
      <sz val="12"/>
      <name val="Times New Roman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8"/>
      <name val="Times New Roman"/>
      <family val="2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2"/>
    </font>
    <font>
      <b/>
      <i/>
      <sz val="11"/>
      <color indexed="8"/>
      <name val="Times New Roman"/>
      <family val="1"/>
    </font>
    <font>
      <b/>
      <sz val="10"/>
      <name val=".VnTimeH"/>
      <family val="2"/>
    </font>
    <font>
      <b/>
      <sz val="10"/>
      <name val=".VnTime"/>
      <family val="2"/>
    </font>
    <font>
      <sz val="12"/>
      <color indexed="8"/>
      <name val="Times New Roman"/>
      <family val="2"/>
    </font>
    <font>
      <b/>
      <sz val="11"/>
      <name val=".VnArial NarrowH"/>
      <family val="2"/>
    </font>
    <font>
      <b/>
      <sz val="11"/>
      <name val=".VnTime"/>
      <family val="2"/>
    </font>
    <font>
      <sz val="10"/>
      <name val=".VnTime"/>
      <family val="2"/>
    </font>
    <font>
      <sz val="12"/>
      <name val=".VnTime"/>
      <family val="2"/>
    </font>
    <font>
      <sz val="11"/>
      <name val=".VnTime"/>
      <family val="2"/>
    </font>
    <font>
      <b/>
      <sz val="11"/>
      <name val=".VnTimeH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.VnTimeH"/>
      <family val="2"/>
    </font>
    <font>
      <sz val="11"/>
      <color indexed="10"/>
      <name val=".VnTime"/>
      <family val="2"/>
    </font>
    <font>
      <sz val="11"/>
      <color indexed="12"/>
      <name val=".VnTime"/>
      <family val="2"/>
    </font>
    <font>
      <sz val="13"/>
      <name val="Times New Roman"/>
      <family val="1"/>
    </font>
    <font>
      <b/>
      <sz val="13"/>
      <name val=".VnTimeH"/>
      <family val="2"/>
    </font>
    <font>
      <b/>
      <sz val="11"/>
      <color indexed="10"/>
      <name val=".VnTimeH"/>
      <family val="2"/>
    </font>
    <font>
      <b/>
      <sz val="11"/>
      <color indexed="12"/>
      <name val=".VnTimeH"/>
      <family val="2"/>
    </font>
    <font>
      <sz val="11"/>
      <name val=".VnTimeH"/>
      <family val="2"/>
    </font>
    <font>
      <b/>
      <sz val="14"/>
      <name val="Times New Roman"/>
      <family val="1"/>
    </font>
    <font>
      <b/>
      <sz val="14"/>
      <name val=".VnTime"/>
      <family val="2"/>
    </font>
    <font>
      <b/>
      <sz val="13"/>
      <name val=".VnTime"/>
      <family val="2"/>
    </font>
    <font>
      <i/>
      <sz val="14"/>
      <name val=".VnTime"/>
      <family val="2"/>
    </font>
    <font>
      <b/>
      <sz val="14"/>
      <name val=".VnTimeH"/>
      <family val="2"/>
    </font>
    <font>
      <b/>
      <sz val="11"/>
      <color indexed="10"/>
      <name val=".VnTime"/>
      <family val="2"/>
    </font>
    <font>
      <sz val="13"/>
      <color indexed="8"/>
      <name val=".VnTime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.VnTime"/>
      <family val="2"/>
    </font>
    <font>
      <b/>
      <sz val="13"/>
      <color indexed="10"/>
      <name val=".VnTime"/>
      <family val="2"/>
    </font>
    <font>
      <b/>
      <sz val="11"/>
      <color indexed="12"/>
      <name val=".VnTime"/>
      <family val="2"/>
    </font>
    <font>
      <sz val="11"/>
      <color indexed="12"/>
      <name val=".VnTimeH"/>
      <family val="2"/>
    </font>
    <font>
      <sz val="10"/>
      <color indexed="8"/>
      <name val="Times New Roman"/>
      <family val="1"/>
    </font>
    <font>
      <i/>
      <sz val="13"/>
      <name val="Times New Roman"/>
      <family val="1"/>
    </font>
    <font>
      <sz val="14"/>
      <name val=".VnTime"/>
      <family val="2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??"/>
      <family val="3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2"/>
      <name val="Courier"/>
      <family val="3"/>
    </font>
    <font>
      <sz val="10"/>
      <name val="?? ??"/>
      <family val="1"/>
    </font>
    <font>
      <sz val="11"/>
      <name val="–¾’©"/>
      <family val="1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¹ÙÅÁÃ¼"/>
      <family val="1"/>
    </font>
    <font>
      <sz val="10"/>
      <name val="Arial"/>
      <family val="2"/>
    </font>
    <font>
      <sz val="12"/>
      <name val="Helv"/>
      <family val="2"/>
    </font>
    <font>
      <sz val="10"/>
      <name val="±¼¸²A¼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0"/>
      <name val=" "/>
      <family val="1"/>
    </font>
    <font>
      <sz val="14"/>
      <color indexed="8"/>
      <name val=".VnTime"/>
      <family val="2"/>
    </font>
    <font>
      <sz val="11"/>
      <color indexed="8"/>
      <name val="Calibri"/>
      <family val="2"/>
    </font>
    <font>
      <sz val="11"/>
      <color indexed="8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color indexed="8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8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204" fontId="62" fillId="0" borderId="0" applyFont="0" applyFill="0" applyBorder="0" applyAlignment="0" applyProtection="0"/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191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8" fillId="0" borderId="0">
      <alignment/>
      <protection/>
    </xf>
    <xf numFmtId="0" fontId="69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69" fillId="2" borderId="0">
      <alignment/>
      <protection/>
    </xf>
    <xf numFmtId="0" fontId="70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70" fillId="2" borderId="0">
      <alignment/>
      <protection/>
    </xf>
    <xf numFmtId="0" fontId="113" fillId="3" borderId="0" applyNumberFormat="0" applyBorder="0" applyAlignment="0" applyProtection="0"/>
    <xf numFmtId="0" fontId="91" fillId="4" borderId="0" applyNumberFormat="0" applyBorder="0" applyAlignment="0" applyProtection="0"/>
    <xf numFmtId="0" fontId="113" fillId="5" borderId="0" applyNumberFormat="0" applyBorder="0" applyAlignment="0" applyProtection="0"/>
    <xf numFmtId="0" fontId="91" fillId="6" borderId="0" applyNumberFormat="0" applyBorder="0" applyAlignment="0" applyProtection="0"/>
    <xf numFmtId="0" fontId="113" fillId="7" borderId="0" applyNumberFormat="0" applyBorder="0" applyAlignment="0" applyProtection="0"/>
    <xf numFmtId="0" fontId="91" fillId="8" borderId="0" applyNumberFormat="0" applyBorder="0" applyAlignment="0" applyProtection="0"/>
    <xf numFmtId="0" fontId="113" fillId="9" borderId="0" applyNumberFormat="0" applyBorder="0" applyAlignment="0" applyProtection="0"/>
    <xf numFmtId="0" fontId="91" fillId="10" borderId="0" applyNumberFormat="0" applyBorder="0" applyAlignment="0" applyProtection="0"/>
    <xf numFmtId="0" fontId="113" fillId="11" borderId="0" applyNumberFormat="0" applyBorder="0" applyAlignment="0" applyProtection="0"/>
    <xf numFmtId="0" fontId="91" fillId="12" borderId="0" applyNumberFormat="0" applyBorder="0" applyAlignment="0" applyProtection="0"/>
    <xf numFmtId="0" fontId="113" fillId="13" borderId="0" applyNumberFormat="0" applyBorder="0" applyAlignment="0" applyProtection="0"/>
    <xf numFmtId="0" fontId="91" fillId="14" borderId="0" applyNumberFormat="0" applyBorder="0" applyAlignment="0" applyProtection="0"/>
    <xf numFmtId="0" fontId="71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71" fillId="2" borderId="0">
      <alignment/>
      <protection/>
    </xf>
    <xf numFmtId="0" fontId="72" fillId="0" borderId="0">
      <alignment wrapText="1"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72" fillId="0" borderId="0">
      <alignment wrapText="1"/>
      <protection/>
    </xf>
    <xf numFmtId="0" fontId="113" fillId="15" borderId="0" applyNumberFormat="0" applyBorder="0" applyAlignment="0" applyProtection="0"/>
    <xf numFmtId="0" fontId="91" fillId="16" borderId="0" applyNumberFormat="0" applyBorder="0" applyAlignment="0" applyProtection="0"/>
    <xf numFmtId="0" fontId="113" fillId="17" borderId="0" applyNumberFormat="0" applyBorder="0" applyAlignment="0" applyProtection="0"/>
    <xf numFmtId="0" fontId="91" fillId="18" borderId="0" applyNumberFormat="0" applyBorder="0" applyAlignment="0" applyProtection="0"/>
    <xf numFmtId="0" fontId="113" fillId="19" borderId="0" applyNumberFormat="0" applyBorder="0" applyAlignment="0" applyProtection="0"/>
    <xf numFmtId="0" fontId="91" fillId="20" borderId="0" applyNumberFormat="0" applyBorder="0" applyAlignment="0" applyProtection="0"/>
    <xf numFmtId="0" fontId="113" fillId="21" borderId="0" applyNumberFormat="0" applyBorder="0" applyAlignment="0" applyProtection="0"/>
    <xf numFmtId="0" fontId="91" fillId="10" borderId="0" applyNumberFormat="0" applyBorder="0" applyAlignment="0" applyProtection="0"/>
    <xf numFmtId="0" fontId="113" fillId="22" borderId="0" applyNumberFormat="0" applyBorder="0" applyAlignment="0" applyProtection="0"/>
    <xf numFmtId="0" fontId="91" fillId="16" borderId="0" applyNumberFormat="0" applyBorder="0" applyAlignment="0" applyProtection="0"/>
    <xf numFmtId="0" fontId="113" fillId="23" borderId="0" applyNumberFormat="0" applyBorder="0" applyAlignment="0" applyProtection="0"/>
    <xf numFmtId="0" fontId="91" fillId="24" borderId="0" applyNumberFormat="0" applyBorder="0" applyAlignment="0" applyProtection="0"/>
    <xf numFmtId="0" fontId="114" fillId="25" borderId="0" applyNumberFormat="0" applyBorder="0" applyAlignment="0" applyProtection="0"/>
    <xf numFmtId="0" fontId="93" fillId="26" borderId="0" applyNumberFormat="0" applyBorder="0" applyAlignment="0" applyProtection="0"/>
    <xf numFmtId="0" fontId="114" fillId="27" borderId="0" applyNumberFormat="0" applyBorder="0" applyAlignment="0" applyProtection="0"/>
    <xf numFmtId="0" fontId="93" fillId="18" borderId="0" applyNumberFormat="0" applyBorder="0" applyAlignment="0" applyProtection="0"/>
    <xf numFmtId="0" fontId="114" fillId="28" borderId="0" applyNumberFormat="0" applyBorder="0" applyAlignment="0" applyProtection="0"/>
    <xf numFmtId="0" fontId="93" fillId="20" borderId="0" applyNumberFormat="0" applyBorder="0" applyAlignment="0" applyProtection="0"/>
    <xf numFmtId="0" fontId="114" fillId="29" borderId="0" applyNumberFormat="0" applyBorder="0" applyAlignment="0" applyProtection="0"/>
    <xf numFmtId="0" fontId="93" fillId="30" borderId="0" applyNumberFormat="0" applyBorder="0" applyAlignment="0" applyProtection="0"/>
    <xf numFmtId="0" fontId="114" fillId="31" borderId="0" applyNumberFormat="0" applyBorder="0" applyAlignment="0" applyProtection="0"/>
    <xf numFmtId="0" fontId="93" fillId="32" borderId="0" applyNumberFormat="0" applyBorder="0" applyAlignment="0" applyProtection="0"/>
    <xf numFmtId="0" fontId="114" fillId="33" borderId="0" applyNumberFormat="0" applyBorder="0" applyAlignment="0" applyProtection="0"/>
    <xf numFmtId="0" fontId="93" fillId="34" borderId="0" applyNumberFormat="0" applyBorder="0" applyAlignment="0" applyProtection="0"/>
    <xf numFmtId="0" fontId="114" fillId="35" borderId="0" applyNumberFormat="0" applyBorder="0" applyAlignment="0" applyProtection="0"/>
    <xf numFmtId="0" fontId="93" fillId="36" borderId="0" applyNumberFormat="0" applyBorder="0" applyAlignment="0" applyProtection="0"/>
    <xf numFmtId="0" fontId="114" fillId="37" borderId="0" applyNumberFormat="0" applyBorder="0" applyAlignment="0" applyProtection="0"/>
    <xf numFmtId="0" fontId="93" fillId="38" borderId="0" applyNumberFormat="0" applyBorder="0" applyAlignment="0" applyProtection="0"/>
    <xf numFmtId="0" fontId="114" fillId="39" borderId="0" applyNumberFormat="0" applyBorder="0" applyAlignment="0" applyProtection="0"/>
    <xf numFmtId="0" fontId="93" fillId="40" borderId="0" applyNumberFormat="0" applyBorder="0" applyAlignment="0" applyProtection="0"/>
    <xf numFmtId="0" fontId="114" fillId="41" borderId="0" applyNumberFormat="0" applyBorder="0" applyAlignment="0" applyProtection="0"/>
    <xf numFmtId="0" fontId="93" fillId="30" borderId="0" applyNumberFormat="0" applyBorder="0" applyAlignment="0" applyProtection="0"/>
    <xf numFmtId="0" fontId="114" fillId="42" borderId="0" applyNumberFormat="0" applyBorder="0" applyAlignment="0" applyProtection="0"/>
    <xf numFmtId="0" fontId="93" fillId="32" borderId="0" applyNumberFormat="0" applyBorder="0" applyAlignment="0" applyProtection="0"/>
    <xf numFmtId="0" fontId="114" fillId="43" borderId="0" applyNumberFormat="0" applyBorder="0" applyAlignment="0" applyProtection="0"/>
    <xf numFmtId="0" fontId="93" fillId="44" borderId="0" applyNumberFormat="0" applyBorder="0" applyAlignment="0" applyProtection="0"/>
    <xf numFmtId="0" fontId="73" fillId="0" borderId="0" applyFont="0" applyFill="0" applyBorder="0" applyAlignment="0" applyProtection="0"/>
    <xf numFmtId="202" fontId="74" fillId="0" borderId="0" applyFont="0" applyFill="0" applyBorder="0" applyAlignment="0" applyProtection="0"/>
    <xf numFmtId="0" fontId="73" fillId="0" borderId="0" applyFont="0" applyFill="0" applyBorder="0" applyAlignment="0" applyProtection="0"/>
    <xf numFmtId="201" fontId="74" fillId="0" borderId="0" applyFont="0" applyFill="0" applyBorder="0" applyAlignment="0" applyProtection="0"/>
    <xf numFmtId="0" fontId="73" fillId="0" borderId="0" applyFont="0" applyFill="0" applyBorder="0" applyAlignment="0" applyProtection="0"/>
    <xf numFmtId="189" fontId="75" fillId="0" borderId="0" applyFont="0" applyFill="0" applyBorder="0" applyAlignment="0" applyProtection="0"/>
    <xf numFmtId="0" fontId="73" fillId="0" borderId="0" applyFont="0" applyFill="0" applyBorder="0" applyAlignment="0" applyProtection="0"/>
    <xf numFmtId="190" fontId="75" fillId="0" borderId="0" applyFont="0" applyFill="0" applyBorder="0" applyAlignment="0" applyProtection="0"/>
    <xf numFmtId="0" fontId="115" fillId="45" borderId="0" applyNumberFormat="0" applyBorder="0" applyAlignment="0" applyProtection="0"/>
    <xf numFmtId="0" fontId="94" fillId="6" borderId="0" applyNumberFormat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37" fontId="76" fillId="0" borderId="0">
      <alignment/>
      <protection/>
    </xf>
    <xf numFmtId="0" fontId="77" fillId="0" borderId="0">
      <alignment/>
      <protection/>
    </xf>
    <xf numFmtId="174" fontId="75" fillId="0" borderId="0" applyFill="0" applyBorder="0" applyAlignment="0">
      <protection/>
    </xf>
    <xf numFmtId="174" fontId="75" fillId="0" borderId="0" applyFill="0" applyBorder="0" applyAlignment="0">
      <protection/>
    </xf>
    <xf numFmtId="0" fontId="116" fillId="46" borderId="1" applyNumberFormat="0" applyAlignment="0" applyProtection="0"/>
    <xf numFmtId="0" fontId="95" fillId="2" borderId="2" applyNumberFormat="0" applyAlignment="0" applyProtection="0"/>
    <xf numFmtId="0" fontId="117" fillId="47" borderId="3" applyNumberFormat="0" applyAlignment="0" applyProtection="0"/>
    <xf numFmtId="0" fontId="96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6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3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" fontId="75" fillId="0" borderId="0" applyFont="0" applyFill="0" applyBorder="0" applyAlignment="0" applyProtection="0"/>
    <xf numFmtId="0" fontId="119" fillId="49" borderId="0" applyNumberFormat="0" applyBorder="0" applyAlignment="0" applyProtection="0"/>
    <xf numFmtId="0" fontId="98" fillId="8" borderId="0" applyNumberFormat="0" applyBorder="0" applyAlignment="0" applyProtection="0"/>
    <xf numFmtId="38" fontId="78" fillId="2" borderId="0" applyNumberFormat="0" applyBorder="0" applyAlignment="0" applyProtection="0"/>
    <xf numFmtId="0" fontId="79" fillId="0" borderId="5" applyNumberFormat="0" applyAlignment="0" applyProtection="0"/>
    <xf numFmtId="0" fontId="79" fillId="0" borderId="6">
      <alignment horizontal="left" vertical="center"/>
      <protection/>
    </xf>
    <xf numFmtId="0" fontId="12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99" fillId="0" borderId="8" applyNumberFormat="0" applyFill="0" applyAlignment="0" applyProtection="0"/>
    <xf numFmtId="0" fontId="121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100" fillId="0" borderId="10" applyNumberFormat="0" applyFill="0" applyAlignment="0" applyProtection="0"/>
    <xf numFmtId="0" fontId="122" fillId="0" borderId="11" applyNumberFormat="0" applyFill="0" applyAlignment="0" applyProtection="0"/>
    <xf numFmtId="0" fontId="101" fillId="0" borderId="12" applyNumberFormat="0" applyFill="0" applyAlignment="0" applyProtection="0"/>
    <xf numFmtId="0" fontId="12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9" fontId="42" fillId="0" borderId="13">
      <alignment vertical="center"/>
      <protection/>
    </xf>
    <xf numFmtId="0" fontId="123" fillId="50" borderId="1" applyNumberFormat="0" applyAlignment="0" applyProtection="0"/>
    <xf numFmtId="10" fontId="78" fillId="51" borderId="13" applyNumberFormat="0" applyBorder="0" applyAlignment="0" applyProtection="0"/>
    <xf numFmtId="0" fontId="102" fillId="14" borderId="2" applyNumberFormat="0" applyAlignment="0" applyProtection="0"/>
    <xf numFmtId="0" fontId="124" fillId="0" borderId="14" applyNumberFormat="0" applyFill="0" applyAlignment="0" applyProtection="0"/>
    <xf numFmtId="0" fontId="103" fillId="0" borderId="15" applyNumberFormat="0" applyFill="0" applyAlignment="0" applyProtection="0"/>
    <xf numFmtId="205" fontId="75" fillId="0" borderId="16">
      <alignment/>
      <protection/>
    </xf>
    <xf numFmtId="205" fontId="75" fillId="0" borderId="16">
      <alignment/>
      <protection/>
    </xf>
    <xf numFmtId="0" fontId="81" fillId="0" borderId="0" applyNumberFormat="0" applyFont="0" applyFill="0" applyAlignment="0">
      <protection/>
    </xf>
    <xf numFmtId="0" fontId="125" fillId="52" borderId="0" applyNumberFormat="0" applyBorder="0" applyAlignment="0" applyProtection="0"/>
    <xf numFmtId="0" fontId="104" fillId="53" borderId="0" applyNumberFormat="0" applyBorder="0" applyAlignment="0" applyProtection="0"/>
    <xf numFmtId="196" fontId="75" fillId="0" borderId="0">
      <alignment/>
      <protection/>
    </xf>
    <xf numFmtId="196" fontId="75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7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0" fillId="54" borderId="17" applyNumberFormat="0" applyFont="0" applyAlignment="0" applyProtection="0"/>
    <xf numFmtId="0" fontId="91" fillId="51" borderId="18" applyNumberFormat="0" applyFont="0" applyAlignment="0" applyProtection="0"/>
    <xf numFmtId="0" fontId="126" fillId="46" borderId="19" applyNumberFormat="0" applyAlignment="0" applyProtection="0"/>
    <xf numFmtId="0" fontId="105" fillId="2" borderId="20" applyNumberFormat="0" applyAlignment="0" applyProtection="0"/>
    <xf numFmtId="9" fontId="0" fillId="0" borderId="0" applyFont="0" applyFill="0" applyBorder="0" applyAlignment="0" applyProtection="0"/>
    <xf numFmtId="10" fontId="75" fillId="0" borderId="0" applyFont="0" applyFill="0" applyBorder="0" applyAlignment="0" applyProtection="0"/>
    <xf numFmtId="10" fontId="7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28" fillId="0" borderId="21" applyNumberFormat="0" applyFill="0" applyAlignment="0" applyProtection="0"/>
    <xf numFmtId="0" fontId="75" fillId="0" borderId="22" applyNumberFormat="0" applyFont="0" applyFill="0" applyAlignment="0" applyProtection="0"/>
    <xf numFmtId="0" fontId="107" fillId="0" borderId="23" applyNumberFormat="0" applyFill="0" applyAlignment="0" applyProtection="0"/>
    <xf numFmtId="0" fontId="12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0" fillId="0" borderId="0">
      <alignment vertical="center"/>
      <protection/>
    </xf>
    <xf numFmtId="40" fontId="83" fillId="0" borderId="0" applyFont="0" applyFill="0" applyBorder="0" applyAlignment="0" applyProtection="0"/>
    <xf numFmtId="38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85" fillId="0" borderId="0">
      <alignment/>
      <protection/>
    </xf>
    <xf numFmtId="200" fontId="87" fillId="0" borderId="0" applyFont="0" applyFill="0" applyBorder="0" applyAlignment="0" applyProtection="0"/>
    <xf numFmtId="197" fontId="87" fillId="0" borderId="0" applyFont="0" applyFill="0" applyBorder="0" applyAlignment="0" applyProtection="0"/>
    <xf numFmtId="199" fontId="87" fillId="0" borderId="0" applyFont="0" applyFill="0" applyBorder="0" applyAlignment="0" applyProtection="0"/>
    <xf numFmtId="198" fontId="87" fillId="0" borderId="0" applyFont="0" applyFill="0" applyBorder="0" applyAlignment="0" applyProtection="0"/>
    <xf numFmtId="0" fontId="88" fillId="0" borderId="0">
      <alignment/>
      <protection/>
    </xf>
    <xf numFmtId="0" fontId="81" fillId="0" borderId="0">
      <alignment/>
      <protection/>
    </xf>
    <xf numFmtId="193" fontId="86" fillId="0" borderId="0" applyFont="0" applyFill="0" applyBorder="0" applyAlignment="0" applyProtection="0"/>
    <xf numFmtId="195" fontId="86" fillId="0" borderId="0" applyFont="0" applyFill="0" applyBorder="0" applyAlignment="0" applyProtection="0"/>
    <xf numFmtId="192" fontId="86" fillId="0" borderId="0" applyFont="0" applyFill="0" applyBorder="0" applyAlignment="0" applyProtection="0"/>
    <xf numFmtId="6" fontId="66" fillId="0" borderId="0" applyFont="0" applyFill="0" applyBorder="0" applyAlignment="0" applyProtection="0"/>
    <xf numFmtId="194" fontId="86" fillId="0" borderId="0" applyFont="0" applyFill="0" applyBorder="0" applyAlignment="0" applyProtection="0"/>
  </cellStyleXfs>
  <cellXfs count="805">
    <xf numFmtId="0" fontId="0" fillId="0" borderId="0" xfId="0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4" fillId="0" borderId="0" xfId="199" applyFont="1" applyBorder="1" applyAlignment="1">
      <alignment/>
      <protection/>
    </xf>
    <xf numFmtId="0" fontId="16" fillId="0" borderId="16" xfId="199" applyFont="1" applyBorder="1" applyAlignment="1">
      <alignment horizontal="center"/>
      <protection/>
    </xf>
    <xf numFmtId="0" fontId="18" fillId="0" borderId="16" xfId="199" applyFont="1" applyBorder="1">
      <alignment/>
      <protection/>
    </xf>
    <xf numFmtId="2" fontId="12" fillId="0" borderId="16" xfId="199" applyNumberFormat="1" applyFont="1" applyBorder="1">
      <alignment/>
      <protection/>
    </xf>
    <xf numFmtId="2" fontId="16" fillId="0" borderId="16" xfId="199" applyNumberFormat="1" applyFont="1" applyBorder="1">
      <alignment/>
      <protection/>
    </xf>
    <xf numFmtId="173" fontId="16" fillId="0" borderId="16" xfId="199" applyNumberFormat="1" applyFont="1" applyBorder="1">
      <alignment/>
      <protection/>
    </xf>
    <xf numFmtId="2" fontId="16" fillId="0" borderId="16" xfId="199" applyNumberFormat="1" applyFont="1" applyBorder="1">
      <alignment/>
      <protection/>
    </xf>
    <xf numFmtId="43" fontId="16" fillId="55" borderId="16" xfId="117" applyNumberFormat="1" applyFont="1" applyFill="1" applyBorder="1" applyAlignment="1">
      <alignment horizontal="right" vertical="center"/>
    </xf>
    <xf numFmtId="0" fontId="16" fillId="0" borderId="24" xfId="199" applyFont="1" applyBorder="1" applyAlignment="1">
      <alignment horizontal="center"/>
      <protection/>
    </xf>
    <xf numFmtId="0" fontId="18" fillId="0" borderId="24" xfId="199" applyFont="1" applyBorder="1">
      <alignment/>
      <protection/>
    </xf>
    <xf numFmtId="2" fontId="12" fillId="0" borderId="24" xfId="199" applyNumberFormat="1" applyFont="1" applyBorder="1">
      <alignment/>
      <protection/>
    </xf>
    <xf numFmtId="2" fontId="16" fillId="0" borderId="24" xfId="199" applyNumberFormat="1" applyFont="1" applyBorder="1">
      <alignment/>
      <protection/>
    </xf>
    <xf numFmtId="173" fontId="16" fillId="0" borderId="24" xfId="199" applyNumberFormat="1" applyFont="1" applyBorder="1">
      <alignment/>
      <protection/>
    </xf>
    <xf numFmtId="2" fontId="16" fillId="0" borderId="24" xfId="199" applyNumberFormat="1" applyFont="1" applyBorder="1">
      <alignment/>
      <protection/>
    </xf>
    <xf numFmtId="43" fontId="16" fillId="55" borderId="24" xfId="117" applyNumberFormat="1" applyFont="1" applyFill="1" applyBorder="1" applyAlignment="1">
      <alignment horizontal="right" vertical="center"/>
    </xf>
    <xf numFmtId="0" fontId="18" fillId="0" borderId="24" xfId="199" applyFont="1" applyBorder="1">
      <alignment/>
      <protection/>
    </xf>
    <xf numFmtId="0" fontId="16" fillId="0" borderId="24" xfId="199" applyFont="1" applyBorder="1">
      <alignment/>
      <protection/>
    </xf>
    <xf numFmtId="174" fontId="16" fillId="0" borderId="24" xfId="199" applyNumberFormat="1" applyFont="1" applyBorder="1">
      <alignment/>
      <protection/>
    </xf>
    <xf numFmtId="0" fontId="16" fillId="0" borderId="25" xfId="199" applyFont="1" applyBorder="1" applyAlignment="1">
      <alignment horizontal="center"/>
      <protection/>
    </xf>
    <xf numFmtId="0" fontId="18" fillId="0" borderId="25" xfId="199" applyFont="1" applyBorder="1">
      <alignment/>
      <protection/>
    </xf>
    <xf numFmtId="2" fontId="12" fillId="0" borderId="25" xfId="199" applyNumberFormat="1" applyFont="1" applyBorder="1">
      <alignment/>
      <protection/>
    </xf>
    <xf numFmtId="2" fontId="16" fillId="0" borderId="25" xfId="199" applyNumberFormat="1" applyFont="1" applyBorder="1">
      <alignment/>
      <protection/>
    </xf>
    <xf numFmtId="2" fontId="16" fillId="0" borderId="25" xfId="199" applyNumberFormat="1" applyFont="1" applyBorder="1">
      <alignment/>
      <protection/>
    </xf>
    <xf numFmtId="43" fontId="16" fillId="55" borderId="25" xfId="117" applyNumberFormat="1" applyFont="1" applyFill="1" applyBorder="1" applyAlignment="1">
      <alignment horizontal="right" vertical="center"/>
    </xf>
    <xf numFmtId="0" fontId="16" fillId="0" borderId="26" xfId="199" applyFont="1" applyBorder="1">
      <alignment/>
      <protection/>
    </xf>
    <xf numFmtId="0" fontId="15" fillId="0" borderId="26" xfId="199" applyFont="1" applyBorder="1">
      <alignment/>
      <protection/>
    </xf>
    <xf numFmtId="2" fontId="12" fillId="55" borderId="26" xfId="117" applyNumberFormat="1" applyFont="1" applyFill="1" applyBorder="1" applyAlignment="1">
      <alignment horizontal="right" vertical="center"/>
    </xf>
    <xf numFmtId="43" fontId="12" fillId="55" borderId="26" xfId="117" applyNumberFormat="1" applyFont="1" applyFill="1" applyBorder="1" applyAlignment="1">
      <alignment horizontal="right" vertical="center"/>
    </xf>
    <xf numFmtId="0" fontId="16" fillId="0" borderId="0" xfId="199" applyFont="1">
      <alignment/>
      <protection/>
    </xf>
    <xf numFmtId="0" fontId="12" fillId="0" borderId="0" xfId="199" applyFont="1" applyBorder="1" applyAlignment="1">
      <alignment wrapText="1"/>
      <protection/>
    </xf>
    <xf numFmtId="0" fontId="19" fillId="0" borderId="0" xfId="199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12" fillId="0" borderId="27" xfId="196" applyFont="1" applyBorder="1" applyAlignment="1">
      <alignment horizontal="center"/>
      <protection/>
    </xf>
    <xf numFmtId="0" fontId="16" fillId="0" borderId="28" xfId="199" applyFont="1" applyBorder="1">
      <alignment/>
      <protection/>
    </xf>
    <xf numFmtId="0" fontId="18" fillId="0" borderId="28" xfId="199" applyFont="1" applyBorder="1">
      <alignment/>
      <protection/>
    </xf>
    <xf numFmtId="2" fontId="12" fillId="0" borderId="28" xfId="199" applyNumberFormat="1" applyFont="1" applyBorder="1">
      <alignment/>
      <protection/>
    </xf>
    <xf numFmtId="2" fontId="16" fillId="0" borderId="28" xfId="199" applyNumberFormat="1" applyFont="1" applyBorder="1">
      <alignment/>
      <protection/>
    </xf>
    <xf numFmtId="173" fontId="16" fillId="0" borderId="28" xfId="199" applyNumberFormat="1" applyFont="1" applyBorder="1">
      <alignment/>
      <protection/>
    </xf>
    <xf numFmtId="2" fontId="16" fillId="0" borderId="28" xfId="199" applyNumberFormat="1" applyFont="1" applyBorder="1">
      <alignment/>
      <protection/>
    </xf>
    <xf numFmtId="0" fontId="16" fillId="0" borderId="29" xfId="199" applyFont="1" applyBorder="1">
      <alignment/>
      <protection/>
    </xf>
    <xf numFmtId="0" fontId="18" fillId="0" borderId="29" xfId="199" applyFont="1" applyBorder="1">
      <alignment/>
      <protection/>
    </xf>
    <xf numFmtId="2" fontId="12" fillId="0" borderId="29" xfId="199" applyNumberFormat="1" applyFont="1" applyBorder="1">
      <alignment/>
      <protection/>
    </xf>
    <xf numFmtId="2" fontId="16" fillId="0" borderId="29" xfId="199" applyNumberFormat="1" applyFont="1" applyBorder="1">
      <alignment/>
      <protection/>
    </xf>
    <xf numFmtId="173" fontId="16" fillId="0" borderId="29" xfId="199" applyNumberFormat="1" applyFont="1" applyBorder="1">
      <alignment/>
      <protection/>
    </xf>
    <xf numFmtId="2" fontId="16" fillId="0" borderId="29" xfId="199" applyNumberFormat="1" applyFont="1" applyBorder="1">
      <alignment/>
      <protection/>
    </xf>
    <xf numFmtId="0" fontId="18" fillId="0" borderId="29" xfId="199" applyFont="1" applyBorder="1">
      <alignment/>
      <protection/>
    </xf>
    <xf numFmtId="0" fontId="16" fillId="0" borderId="29" xfId="199" applyFont="1" applyBorder="1">
      <alignment/>
      <protection/>
    </xf>
    <xf numFmtId="174" fontId="16" fillId="0" borderId="29" xfId="199" applyNumberFormat="1" applyFont="1" applyBorder="1">
      <alignment/>
      <protection/>
    </xf>
    <xf numFmtId="0" fontId="16" fillId="0" borderId="30" xfId="199" applyFont="1" applyBorder="1">
      <alignment/>
      <protection/>
    </xf>
    <xf numFmtId="0" fontId="18" fillId="0" borderId="30" xfId="199" applyFont="1" applyBorder="1">
      <alignment/>
      <protection/>
    </xf>
    <xf numFmtId="2" fontId="16" fillId="0" borderId="30" xfId="199" applyNumberFormat="1" applyFont="1" applyBorder="1">
      <alignment/>
      <protection/>
    </xf>
    <xf numFmtId="173" fontId="16" fillId="0" borderId="30" xfId="199" applyNumberFormat="1" applyFont="1" applyBorder="1">
      <alignment/>
      <protection/>
    </xf>
    <xf numFmtId="0" fontId="18" fillId="0" borderId="31" xfId="199" applyFont="1" applyBorder="1">
      <alignment/>
      <protection/>
    </xf>
    <xf numFmtId="2" fontId="12" fillId="0" borderId="31" xfId="199" applyNumberFormat="1" applyFont="1" applyBorder="1">
      <alignment/>
      <protection/>
    </xf>
    <xf numFmtId="2" fontId="16" fillId="0" borderId="31" xfId="199" applyNumberFormat="1" applyFont="1" applyBorder="1">
      <alignment/>
      <protection/>
    </xf>
    <xf numFmtId="2" fontId="16" fillId="0" borderId="31" xfId="199" applyNumberFormat="1" applyFont="1" applyBorder="1">
      <alignment/>
      <protection/>
    </xf>
    <xf numFmtId="0" fontId="16" fillId="0" borderId="13" xfId="199" applyFont="1" applyBorder="1">
      <alignment/>
      <protection/>
    </xf>
    <xf numFmtId="2" fontId="12" fillId="55" borderId="13" xfId="117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Border="1" applyAlignment="1">
      <alignment/>
    </xf>
    <xf numFmtId="0" fontId="12" fillId="0" borderId="0" xfId="199" applyFont="1" applyFill="1" applyBorder="1">
      <alignment/>
      <protection/>
    </xf>
    <xf numFmtId="2" fontId="16" fillId="0" borderId="0" xfId="199" applyNumberFormat="1" applyFont="1" applyFill="1" applyBorder="1">
      <alignment/>
      <protection/>
    </xf>
    <xf numFmtId="0" fontId="16" fillId="0" borderId="0" xfId="199" applyFont="1" applyFill="1" applyBorder="1">
      <alignment/>
      <protection/>
    </xf>
    <xf numFmtId="2" fontId="1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75" fontId="24" fillId="0" borderId="0" xfId="117" applyNumberFormat="1" applyFont="1" applyAlignment="1">
      <alignment/>
    </xf>
    <xf numFmtId="0" fontId="24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7" fillId="0" borderId="33" xfId="0" applyFont="1" applyBorder="1" applyAlignment="1">
      <alignment/>
    </xf>
    <xf numFmtId="175" fontId="7" fillId="0" borderId="33" xfId="0" applyNumberFormat="1" applyFont="1" applyBorder="1" applyAlignment="1">
      <alignment/>
    </xf>
    <xf numFmtId="0" fontId="7" fillId="0" borderId="33" xfId="0" applyNumberFormat="1" applyFont="1" applyFill="1" applyBorder="1" applyAlignment="1">
      <alignment/>
    </xf>
    <xf numFmtId="0" fontId="7" fillId="0" borderId="33" xfId="117" applyNumberFormat="1" applyFont="1" applyFill="1" applyBorder="1" applyAlignment="1">
      <alignment/>
    </xf>
    <xf numFmtId="176" fontId="9" fillId="0" borderId="33" xfId="117" applyNumberFormat="1" applyFont="1" applyBorder="1" applyAlignment="1">
      <alignment/>
    </xf>
    <xf numFmtId="175" fontId="9" fillId="0" borderId="33" xfId="117" applyNumberFormat="1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3" xfId="0" applyFont="1" applyBorder="1" applyAlignment="1">
      <alignment horizontal="center"/>
    </xf>
    <xf numFmtId="43" fontId="7" fillId="0" borderId="33" xfId="117" applyNumberFormat="1" applyFont="1" applyFill="1" applyBorder="1" applyAlignment="1">
      <alignment/>
    </xf>
    <xf numFmtId="0" fontId="9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/>
    </xf>
    <xf numFmtId="175" fontId="7" fillId="0" borderId="24" xfId="0" applyNumberFormat="1" applyFont="1" applyBorder="1" applyAlignment="1">
      <alignment/>
    </xf>
    <xf numFmtId="0" fontId="7" fillId="0" borderId="24" xfId="0" applyNumberFormat="1" applyFont="1" applyFill="1" applyBorder="1" applyAlignment="1">
      <alignment/>
    </xf>
    <xf numFmtId="176" fontId="9" fillId="0" borderId="24" xfId="117" applyNumberFormat="1" applyFont="1" applyBorder="1" applyAlignment="1">
      <alignment/>
    </xf>
    <xf numFmtId="175" fontId="9" fillId="0" borderId="24" xfId="117" applyNumberFormat="1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center"/>
    </xf>
    <xf numFmtId="43" fontId="7" fillId="0" borderId="24" xfId="117" applyNumberFormat="1" applyFont="1" applyFill="1" applyBorder="1" applyAlignment="1">
      <alignment/>
    </xf>
    <xf numFmtId="0" fontId="7" fillId="0" borderId="24" xfId="117" applyNumberFormat="1" applyFont="1" applyFill="1" applyBorder="1" applyAlignment="1">
      <alignment/>
    </xf>
    <xf numFmtId="43" fontId="9" fillId="0" borderId="24" xfId="117" applyNumberFormat="1" applyFont="1" applyBorder="1" applyAlignment="1">
      <alignment/>
    </xf>
    <xf numFmtId="0" fontId="7" fillId="0" borderId="0" xfId="0" applyFont="1" applyAlignment="1">
      <alignment/>
    </xf>
    <xf numFmtId="175" fontId="7" fillId="0" borderId="24" xfId="0" applyNumberFormat="1" applyFont="1" applyFill="1" applyBorder="1" applyAlignment="1">
      <alignment/>
    </xf>
    <xf numFmtId="176" fontId="20" fillId="0" borderId="25" xfId="117" applyNumberFormat="1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43" fontId="28" fillId="0" borderId="0" xfId="0" applyNumberFormat="1" applyFont="1" applyFill="1" applyBorder="1" applyAlignment="1">
      <alignment/>
    </xf>
    <xf numFmtId="175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176" fontId="28" fillId="0" borderId="0" xfId="117" applyNumberFormat="1" applyFont="1" applyBorder="1" applyAlignment="1">
      <alignment horizontal="right"/>
    </xf>
    <xf numFmtId="175" fontId="28" fillId="0" borderId="0" xfId="117" applyNumberFormat="1" applyFont="1" applyBorder="1" applyAlignment="1">
      <alignment horizontal="right"/>
    </xf>
    <xf numFmtId="43" fontId="28" fillId="0" borderId="0" xfId="117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176" fontId="28" fillId="0" borderId="0" xfId="117" applyNumberFormat="1" applyFont="1" applyBorder="1" applyAlignment="1">
      <alignment/>
    </xf>
    <xf numFmtId="0" fontId="29" fillId="0" borderId="0" xfId="0" applyFont="1" applyAlignment="1">
      <alignment/>
    </xf>
    <xf numFmtId="2" fontId="18" fillId="0" borderId="0" xfId="198" applyNumberFormat="1" applyFont="1" applyFill="1" applyAlignment="1">
      <alignment horizontal="left"/>
      <protection/>
    </xf>
    <xf numFmtId="2" fontId="18" fillId="0" borderId="0" xfId="198" applyNumberFormat="1" applyFont="1" applyFill="1" applyAlignment="1">
      <alignment horizontal="center"/>
      <protection/>
    </xf>
    <xf numFmtId="2" fontId="15" fillId="0" borderId="0" xfId="198" applyNumberFormat="1" applyFont="1" applyFill="1" applyAlignment="1">
      <alignment horizontal="center"/>
      <protection/>
    </xf>
    <xf numFmtId="2" fontId="31" fillId="0" borderId="0" xfId="198" applyNumberFormat="1" applyFont="1" applyFill="1" applyAlignment="1">
      <alignment horizontal="left"/>
      <protection/>
    </xf>
    <xf numFmtId="2" fontId="32" fillId="0" borderId="0" xfId="198" applyNumberFormat="1" applyFont="1" applyFill="1" applyAlignment="1">
      <alignment horizontal="center"/>
      <protection/>
    </xf>
    <xf numFmtId="2" fontId="33" fillId="0" borderId="0" xfId="198" applyNumberFormat="1" applyFont="1" applyAlignment="1">
      <alignment horizontal="left"/>
      <protection/>
    </xf>
    <xf numFmtId="2" fontId="34" fillId="0" borderId="0" xfId="198" applyNumberFormat="1" applyFont="1" applyAlignment="1">
      <alignment horizontal="left"/>
      <protection/>
    </xf>
    <xf numFmtId="2" fontId="34" fillId="0" borderId="0" xfId="198" applyNumberFormat="1" applyFont="1" applyFill="1" applyAlignment="1">
      <alignment/>
      <protection/>
    </xf>
    <xf numFmtId="2" fontId="34" fillId="0" borderId="0" xfId="198" applyNumberFormat="1" applyFont="1" applyFill="1" applyAlignment="1">
      <alignment horizontal="center" vertical="center"/>
      <protection/>
    </xf>
    <xf numFmtId="2" fontId="19" fillId="0" borderId="0" xfId="198" applyNumberFormat="1" applyFont="1" applyAlignment="1">
      <alignment horizontal="left"/>
      <protection/>
    </xf>
    <xf numFmtId="2" fontId="35" fillId="0" borderId="0" xfId="198" applyNumberFormat="1" applyFont="1" applyAlignment="1">
      <alignment horizontal="left"/>
      <protection/>
    </xf>
    <xf numFmtId="2" fontId="36" fillId="0" borderId="0" xfId="198" applyNumberFormat="1" applyFont="1" applyAlignment="1">
      <alignment horizontal="left"/>
      <protection/>
    </xf>
    <xf numFmtId="2" fontId="37" fillId="0" borderId="0" xfId="198" applyNumberFormat="1" applyFont="1" applyAlignment="1">
      <alignment horizontal="left"/>
      <protection/>
    </xf>
    <xf numFmtId="2" fontId="30" fillId="0" borderId="0" xfId="198" applyNumberFormat="1" applyFont="1" applyFill="1" applyAlignment="1">
      <alignment/>
      <protection/>
    </xf>
    <xf numFmtId="2" fontId="34" fillId="0" borderId="0" xfId="198" applyNumberFormat="1" applyFont="1" applyFill="1" applyAlignment="1">
      <alignment horizontal="left"/>
      <protection/>
    </xf>
    <xf numFmtId="0" fontId="30" fillId="0" borderId="0" xfId="198" applyFont="1" applyFill="1" applyAlignment="1">
      <alignment horizontal="left"/>
      <protection/>
    </xf>
    <xf numFmtId="0" fontId="41" fillId="0" borderId="0" xfId="198" applyFont="1" applyFill="1" applyAlignment="1">
      <alignment/>
      <protection/>
    </xf>
    <xf numFmtId="2" fontId="30" fillId="0" borderId="0" xfId="198" applyNumberFormat="1" applyFont="1" applyFill="1" applyAlignment="1">
      <alignment horizontal="left"/>
      <protection/>
    </xf>
    <xf numFmtId="2" fontId="42" fillId="0" borderId="0" xfId="198" applyNumberFormat="1" applyFont="1" applyFill="1" applyAlignment="1">
      <alignment horizontal="left"/>
      <protection/>
    </xf>
    <xf numFmtId="2" fontId="23" fillId="0" borderId="13" xfId="198" applyNumberFormat="1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/>
    </xf>
    <xf numFmtId="0" fontId="0" fillId="0" borderId="34" xfId="0" applyBorder="1" applyAlignment="1">
      <alignment/>
    </xf>
    <xf numFmtId="2" fontId="21" fillId="0" borderId="34" xfId="198" applyNumberFormat="1" applyFont="1" applyFill="1" applyBorder="1" applyAlignment="1">
      <alignment horizontal="center" vertical="center" wrapText="1"/>
      <protection/>
    </xf>
    <xf numFmtId="2" fontId="21" fillId="0" borderId="13" xfId="198" applyNumberFormat="1" applyFont="1" applyFill="1" applyBorder="1" applyAlignment="1">
      <alignment horizontal="center" vertical="center" wrapText="1"/>
      <protection/>
    </xf>
    <xf numFmtId="2" fontId="15" fillId="0" borderId="35" xfId="198" applyNumberFormat="1" applyFont="1" applyFill="1" applyBorder="1" applyAlignment="1">
      <alignment horizontal="center" vertical="center" wrapText="1"/>
      <protection/>
    </xf>
    <xf numFmtId="2" fontId="15" fillId="0" borderId="26" xfId="198" applyNumberFormat="1" applyFont="1" applyFill="1" applyBorder="1" applyAlignment="1">
      <alignment horizontal="center" vertical="center" wrapText="1"/>
      <protection/>
    </xf>
    <xf numFmtId="2" fontId="15" fillId="0" borderId="26" xfId="198" applyNumberFormat="1" applyFont="1" applyFill="1" applyBorder="1" applyAlignment="1">
      <alignment horizontal="center" vertical="center"/>
      <protection/>
    </xf>
    <xf numFmtId="2" fontId="43" fillId="0" borderId="26" xfId="198" applyNumberFormat="1" applyFont="1" applyFill="1" applyBorder="1" applyAlignment="1">
      <alignment horizontal="center" vertical="center" wrapText="1"/>
      <protection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3" xfId="198" applyNumberFormat="1" applyFont="1" applyFill="1" applyBorder="1" applyAlignment="1">
      <alignment horizontal="center" vertical="center" wrapText="1"/>
      <protection/>
    </xf>
    <xf numFmtId="2" fontId="25" fillId="0" borderId="13" xfId="0" applyNumberFormat="1" applyFont="1" applyBorder="1" applyAlignment="1">
      <alignment horizontal="center" vertical="center" wrapText="1"/>
    </xf>
    <xf numFmtId="2" fontId="25" fillId="0" borderId="13" xfId="198" applyNumberFormat="1" applyFont="1" applyFill="1" applyBorder="1" applyAlignment="1">
      <alignment horizontal="center" vertical="center" wrapText="1"/>
      <protection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0" xfId="198" applyNumberFormat="1" applyFont="1" applyFill="1" applyAlignment="1">
      <alignment horizontal="center" vertical="center"/>
      <protection/>
    </xf>
    <xf numFmtId="1" fontId="44" fillId="0" borderId="16" xfId="198" applyNumberFormat="1" applyFont="1" applyFill="1" applyBorder="1" applyAlignment="1">
      <alignment horizontal="center" vertical="center"/>
      <protection/>
    </xf>
    <xf numFmtId="2" fontId="45" fillId="0" borderId="16" xfId="0" applyNumberFormat="1" applyFont="1" applyFill="1" applyBorder="1" applyAlignment="1">
      <alignment horizontal="left" vertical="center" wrapText="1"/>
    </xf>
    <xf numFmtId="2" fontId="44" fillId="0" borderId="16" xfId="0" applyNumberFormat="1" applyFont="1" applyFill="1" applyBorder="1" applyAlignment="1">
      <alignment horizontal="center" vertical="center"/>
    </xf>
    <xf numFmtId="2" fontId="46" fillId="0" borderId="16" xfId="197" applyNumberFormat="1" applyFont="1" applyFill="1" applyBorder="1" applyAlignment="1">
      <alignment horizontal="center" vertical="center" wrapText="1"/>
      <protection/>
    </xf>
    <xf numFmtId="2" fontId="45" fillId="0" borderId="16" xfId="197" applyNumberFormat="1" applyFont="1" applyFill="1" applyBorder="1" applyAlignment="1">
      <alignment horizontal="center" vertical="center" wrapText="1"/>
      <protection/>
    </xf>
    <xf numFmtId="2" fontId="45" fillId="0" borderId="16" xfId="197" applyNumberFormat="1" applyFont="1" applyFill="1" applyBorder="1" applyAlignment="1">
      <alignment horizontal="center" vertical="center" wrapText="1"/>
      <protection/>
    </xf>
    <xf numFmtId="4" fontId="47" fillId="0" borderId="16" xfId="198" applyNumberFormat="1" applyFont="1" applyFill="1" applyBorder="1" applyAlignment="1">
      <alignment horizontal="center" vertical="center"/>
      <protection/>
    </xf>
    <xf numFmtId="2" fontId="44" fillId="0" borderId="16" xfId="198" applyNumberFormat="1" applyFont="1" applyFill="1" applyBorder="1" applyAlignment="1">
      <alignment horizontal="center" vertical="center"/>
      <protection/>
    </xf>
    <xf numFmtId="2" fontId="43" fillId="0" borderId="36" xfId="198" applyNumberFormat="1" applyFont="1" applyFill="1" applyBorder="1" applyAlignment="1">
      <alignment horizontal="center" vertical="center"/>
      <protection/>
    </xf>
    <xf numFmtId="2" fontId="31" fillId="0" borderId="16" xfId="198" applyNumberFormat="1" applyFont="1" applyFill="1" applyBorder="1" applyAlignment="1">
      <alignment horizontal="center" vertical="center"/>
      <protection/>
    </xf>
    <xf numFmtId="2" fontId="43" fillId="0" borderId="16" xfId="198" applyNumberFormat="1" applyFont="1" applyFill="1" applyBorder="1" applyAlignment="1">
      <alignment horizontal="center" vertical="center"/>
      <protection/>
    </xf>
    <xf numFmtId="2" fontId="43" fillId="0" borderId="16" xfId="198" applyNumberFormat="1" applyFont="1" applyFill="1" applyBorder="1" applyAlignment="1">
      <alignment horizontal="right"/>
      <protection/>
    </xf>
    <xf numFmtId="2" fontId="31" fillId="0" borderId="16" xfId="198" applyNumberFormat="1" applyFont="1" applyFill="1" applyBorder="1" applyAlignment="1">
      <alignment horizontal="left"/>
      <protection/>
    </xf>
    <xf numFmtId="2" fontId="31" fillId="0" borderId="37" xfId="198" applyNumberFormat="1" applyFont="1" applyFill="1" applyBorder="1" applyAlignment="1">
      <alignment horizontal="left"/>
      <protection/>
    </xf>
    <xf numFmtId="2" fontId="31" fillId="0" borderId="37" xfId="198" applyNumberFormat="1" applyFont="1" applyFill="1" applyBorder="1" applyAlignment="1">
      <alignment horizontal="right"/>
      <protection/>
    </xf>
    <xf numFmtId="2" fontId="31" fillId="0" borderId="16" xfId="0" applyNumberFormat="1" applyFont="1" applyFill="1" applyBorder="1" applyAlignment="1">
      <alignment horizontal="left" vertical="center" wrapText="1"/>
    </xf>
    <xf numFmtId="1" fontId="44" fillId="0" borderId="24" xfId="198" applyNumberFormat="1" applyFont="1" applyFill="1" applyBorder="1" applyAlignment="1">
      <alignment horizontal="center" vertical="center"/>
      <protection/>
    </xf>
    <xf numFmtId="2" fontId="45" fillId="0" borderId="24" xfId="0" applyNumberFormat="1" applyFont="1" applyFill="1" applyBorder="1" applyAlignment="1">
      <alignment horizontal="left" vertical="center" wrapText="1"/>
    </xf>
    <xf numFmtId="2" fontId="44" fillId="0" borderId="24" xfId="0" applyNumberFormat="1" applyFont="1" applyFill="1" applyBorder="1" applyAlignment="1">
      <alignment horizontal="center" vertical="center"/>
    </xf>
    <xf numFmtId="2" fontId="45" fillId="0" borderId="24" xfId="197" applyNumberFormat="1" applyFont="1" applyFill="1" applyBorder="1" applyAlignment="1">
      <alignment horizontal="center" vertical="center" wrapText="1"/>
      <protection/>
    </xf>
    <xf numFmtId="2" fontId="45" fillId="0" borderId="24" xfId="0" applyNumberFormat="1" applyFont="1" applyBorder="1" applyAlignment="1">
      <alignment horizontal="center"/>
    </xf>
    <xf numFmtId="2" fontId="45" fillId="0" borderId="24" xfId="197" applyNumberFormat="1" applyFont="1" applyFill="1" applyBorder="1" applyAlignment="1">
      <alignment horizontal="center" vertical="center" wrapText="1"/>
      <protection/>
    </xf>
    <xf numFmtId="4" fontId="47" fillId="0" borderId="24" xfId="198" applyNumberFormat="1" applyFont="1" applyFill="1" applyBorder="1" applyAlignment="1">
      <alignment horizontal="center" vertical="center"/>
      <protection/>
    </xf>
    <xf numFmtId="2" fontId="44" fillId="0" borderId="24" xfId="198" applyNumberFormat="1" applyFont="1" applyFill="1" applyBorder="1" applyAlignment="1">
      <alignment horizontal="center" vertical="center"/>
      <protection/>
    </xf>
    <xf numFmtId="2" fontId="43" fillId="0" borderId="37" xfId="198" applyNumberFormat="1" applyFont="1" applyFill="1" applyBorder="1" applyAlignment="1">
      <alignment horizontal="center" vertical="center"/>
      <protection/>
    </xf>
    <xf numFmtId="2" fontId="31" fillId="0" borderId="24" xfId="198" applyNumberFormat="1" applyFont="1" applyFill="1" applyBorder="1" applyAlignment="1">
      <alignment horizontal="center" vertical="center"/>
      <protection/>
    </xf>
    <xf numFmtId="2" fontId="43" fillId="0" borderId="24" xfId="198" applyNumberFormat="1" applyFont="1" applyFill="1" applyBorder="1" applyAlignment="1">
      <alignment horizontal="center" vertical="center"/>
      <protection/>
    </xf>
    <xf numFmtId="2" fontId="43" fillId="0" borderId="24" xfId="198" applyNumberFormat="1" applyFont="1" applyFill="1" applyBorder="1" applyAlignment="1">
      <alignment horizontal="right"/>
      <protection/>
    </xf>
    <xf numFmtId="2" fontId="31" fillId="0" borderId="33" xfId="198" applyNumberFormat="1" applyFont="1" applyFill="1" applyBorder="1" applyAlignment="1">
      <alignment horizontal="left"/>
      <protection/>
    </xf>
    <xf numFmtId="2" fontId="31" fillId="0" borderId="24" xfId="198" applyNumberFormat="1" applyFont="1" applyFill="1" applyBorder="1" applyAlignment="1">
      <alignment horizontal="left"/>
      <protection/>
    </xf>
    <xf numFmtId="2" fontId="31" fillId="0" borderId="24" xfId="0" applyNumberFormat="1" applyFont="1" applyFill="1" applyBorder="1" applyAlignment="1">
      <alignment horizontal="left" vertical="center" wrapText="1"/>
    </xf>
    <xf numFmtId="2" fontId="46" fillId="0" borderId="24" xfId="197" applyNumberFormat="1" applyFont="1" applyFill="1" applyBorder="1" applyAlignment="1">
      <alignment horizontal="center" vertical="center" wrapText="1"/>
      <protection/>
    </xf>
    <xf numFmtId="2" fontId="31" fillId="0" borderId="38" xfId="198" applyNumberFormat="1" applyFont="1" applyFill="1" applyBorder="1" applyAlignment="1">
      <alignment horizontal="left"/>
      <protection/>
    </xf>
    <xf numFmtId="2" fontId="31" fillId="56" borderId="24" xfId="198" applyNumberFormat="1" applyFont="1" applyFill="1" applyBorder="1" applyAlignment="1">
      <alignment horizontal="left"/>
      <protection/>
    </xf>
    <xf numFmtId="2" fontId="31" fillId="56" borderId="37" xfId="198" applyNumberFormat="1" applyFont="1" applyFill="1" applyBorder="1" applyAlignment="1">
      <alignment horizontal="left"/>
      <protection/>
    </xf>
    <xf numFmtId="2" fontId="31" fillId="56" borderId="16" xfId="198" applyNumberFormat="1" applyFont="1" applyFill="1" applyBorder="1" applyAlignment="1">
      <alignment horizontal="left"/>
      <protection/>
    </xf>
    <xf numFmtId="2" fontId="31" fillId="56" borderId="37" xfId="198" applyNumberFormat="1" applyFont="1" applyFill="1" applyBorder="1" applyAlignment="1">
      <alignment horizontal="right"/>
      <protection/>
    </xf>
    <xf numFmtId="2" fontId="31" fillId="56" borderId="24" xfId="0" applyNumberFormat="1" applyFont="1" applyFill="1" applyBorder="1" applyAlignment="1">
      <alignment horizontal="left" vertical="center" wrapText="1"/>
    </xf>
    <xf numFmtId="2" fontId="31" fillId="56" borderId="0" xfId="198" applyNumberFormat="1" applyFont="1" applyFill="1" applyAlignment="1">
      <alignment horizontal="left"/>
      <protection/>
    </xf>
    <xf numFmtId="2" fontId="45" fillId="0" borderId="24" xfId="0" applyNumberFormat="1" applyFont="1" applyBorder="1" applyAlignment="1">
      <alignment/>
    </xf>
    <xf numFmtId="2" fontId="31" fillId="0" borderId="39" xfId="198" applyNumberFormat="1" applyFont="1" applyFill="1" applyBorder="1" applyAlignment="1">
      <alignment horizontal="left"/>
      <protection/>
    </xf>
    <xf numFmtId="2" fontId="45" fillId="0" borderId="24" xfId="118" applyNumberFormat="1" applyFont="1" applyFill="1" applyBorder="1" applyAlignment="1">
      <alignment horizontal="center" vertical="center"/>
    </xf>
    <xf numFmtId="2" fontId="45" fillId="0" borderId="24" xfId="118" applyNumberFormat="1" applyFont="1" applyFill="1" applyBorder="1" applyAlignment="1">
      <alignment horizontal="center" vertical="center"/>
    </xf>
    <xf numFmtId="2" fontId="46" fillId="0" borderId="24" xfId="118" applyNumberFormat="1" applyFont="1" applyFill="1" applyBorder="1" applyAlignment="1">
      <alignment horizontal="center" vertical="center"/>
    </xf>
    <xf numFmtId="2" fontId="45" fillId="0" borderId="24" xfId="197" applyNumberFormat="1" applyFont="1" applyFill="1" applyBorder="1" applyAlignment="1">
      <alignment horizontal="center" vertical="center"/>
      <protection/>
    </xf>
    <xf numFmtId="2" fontId="43" fillId="0" borderId="40" xfId="198" applyNumberFormat="1" applyFont="1" applyFill="1" applyBorder="1" applyAlignment="1">
      <alignment horizontal="center" vertical="center"/>
      <protection/>
    </xf>
    <xf numFmtId="2" fontId="31" fillId="0" borderId="25" xfId="198" applyNumberFormat="1" applyFont="1" applyFill="1" applyBorder="1" applyAlignment="1">
      <alignment horizontal="center" vertical="center"/>
      <protection/>
    </xf>
    <xf numFmtId="2" fontId="43" fillId="0" borderId="25" xfId="198" applyNumberFormat="1" applyFont="1" applyFill="1" applyBorder="1" applyAlignment="1">
      <alignment horizontal="center" vertical="center"/>
      <protection/>
    </xf>
    <xf numFmtId="2" fontId="43" fillId="0" borderId="25" xfId="198" applyNumberFormat="1" applyFont="1" applyFill="1" applyBorder="1" applyAlignment="1">
      <alignment horizontal="right"/>
      <protection/>
    </xf>
    <xf numFmtId="2" fontId="40" fillId="0" borderId="26" xfId="198" applyNumberFormat="1" applyFont="1" applyFill="1" applyBorder="1" applyAlignment="1">
      <alignment horizontal="left"/>
      <protection/>
    </xf>
    <xf numFmtId="2" fontId="23" fillId="0" borderId="26" xfId="198" applyNumberFormat="1" applyFont="1" applyFill="1" applyBorder="1" applyAlignment="1">
      <alignment vertical="center"/>
      <protection/>
    </xf>
    <xf numFmtId="2" fontId="40" fillId="0" borderId="26" xfId="0" applyNumberFormat="1" applyFont="1" applyFill="1" applyBorder="1" applyAlignment="1">
      <alignment horizontal="center" vertical="center"/>
    </xf>
    <xf numFmtId="2" fontId="40" fillId="0" borderId="26" xfId="198" applyNumberFormat="1" applyFont="1" applyFill="1" applyBorder="1" applyAlignment="1">
      <alignment horizontal="center" vertical="center"/>
      <protection/>
    </xf>
    <xf numFmtId="176" fontId="40" fillId="0" borderId="26" xfId="117" applyNumberFormat="1" applyFont="1" applyFill="1" applyBorder="1" applyAlignment="1">
      <alignment horizontal="center" vertical="center"/>
    </xf>
    <xf numFmtId="4" fontId="47" fillId="0" borderId="26" xfId="198" applyNumberFormat="1" applyFont="1" applyFill="1" applyBorder="1" applyAlignment="1">
      <alignment horizontal="center" vertical="center"/>
      <protection/>
    </xf>
    <xf numFmtId="4" fontId="48" fillId="0" borderId="26" xfId="198" applyNumberFormat="1" applyFont="1" applyFill="1" applyBorder="1" applyAlignment="1">
      <alignment horizontal="center" vertical="center"/>
      <protection/>
    </xf>
    <xf numFmtId="4" fontId="40" fillId="0" borderId="26" xfId="198" applyNumberFormat="1" applyFont="1" applyFill="1" applyBorder="1" applyAlignment="1">
      <alignment horizontal="center" vertical="center"/>
      <protection/>
    </xf>
    <xf numFmtId="3" fontId="40" fillId="0" borderId="26" xfId="198" applyNumberFormat="1" applyFont="1" applyFill="1" applyBorder="1" applyAlignment="1">
      <alignment horizontal="center" vertical="center"/>
      <protection/>
    </xf>
    <xf numFmtId="4" fontId="40" fillId="0" borderId="13" xfId="198" applyNumberFormat="1" applyFont="1" applyFill="1" applyBorder="1" applyAlignment="1">
      <alignment horizontal="center" vertical="center"/>
      <protection/>
    </xf>
    <xf numFmtId="2" fontId="15" fillId="0" borderId="26" xfId="198" applyNumberFormat="1" applyFont="1" applyFill="1" applyBorder="1" applyAlignment="1">
      <alignment horizontal="left"/>
      <protection/>
    </xf>
    <xf numFmtId="2" fontId="15" fillId="0" borderId="26" xfId="198" applyNumberFormat="1" applyFont="1" applyFill="1" applyBorder="1" applyAlignment="1">
      <alignment horizontal="right"/>
      <protection/>
    </xf>
    <xf numFmtId="2" fontId="49" fillId="0" borderId="26" xfId="198" applyNumberFormat="1" applyFont="1" applyFill="1" applyBorder="1" applyAlignment="1">
      <alignment horizontal="right"/>
      <protection/>
    </xf>
    <xf numFmtId="2" fontId="19" fillId="0" borderId="25" xfId="198" applyNumberFormat="1" applyFont="1" applyFill="1" applyBorder="1" applyAlignment="1">
      <alignment horizontal="left" vertical="center"/>
      <protection/>
    </xf>
    <xf numFmtId="2" fontId="15" fillId="0" borderId="0" xfId="198" applyNumberFormat="1" applyFont="1" applyFill="1" applyAlignment="1">
      <alignment horizontal="left"/>
      <protection/>
    </xf>
    <xf numFmtId="2" fontId="15" fillId="0" borderId="0" xfId="198" applyNumberFormat="1" applyFont="1" applyFill="1" applyBorder="1" applyAlignment="1">
      <alignment horizontal="left" vertical="center" wrapText="1"/>
      <protection/>
    </xf>
    <xf numFmtId="2" fontId="43" fillId="0" borderId="0" xfId="198" applyNumberFormat="1" applyFont="1" applyFill="1" applyAlignment="1">
      <alignment horizontal="left"/>
      <protection/>
    </xf>
    <xf numFmtId="2" fontId="49" fillId="0" borderId="0" xfId="198" applyNumberFormat="1" applyFont="1" applyFill="1" applyAlignment="1">
      <alignment horizontal="left"/>
      <protection/>
    </xf>
    <xf numFmtId="2" fontId="7" fillId="0" borderId="0" xfId="198" applyNumberFormat="1" applyFont="1" applyFill="1" applyBorder="1" applyAlignment="1">
      <alignment horizontal="left" vertical="center"/>
      <protection/>
    </xf>
    <xf numFmtId="2" fontId="22" fillId="0" borderId="0" xfId="198" applyNumberFormat="1" applyFont="1" applyFill="1" applyBorder="1" applyAlignment="1">
      <alignment horizontal="center" vertical="center"/>
      <protection/>
    </xf>
    <xf numFmtId="2" fontId="19" fillId="0" borderId="0" xfId="198" applyNumberFormat="1" applyFont="1" applyFill="1" applyBorder="1" applyAlignment="1">
      <alignment horizontal="left" vertical="center"/>
      <protection/>
    </xf>
    <xf numFmtId="2" fontId="36" fillId="0" borderId="0" xfId="198" applyNumberFormat="1" applyFont="1" applyFill="1" applyBorder="1" applyAlignment="1">
      <alignment horizontal="left" vertical="center"/>
      <protection/>
    </xf>
    <xf numFmtId="2" fontId="32" fillId="0" borderId="0" xfId="198" applyNumberFormat="1" applyFont="1" applyFill="1" applyAlignment="1">
      <alignment horizontal="left"/>
      <protection/>
    </xf>
    <xf numFmtId="2" fontId="19" fillId="0" borderId="0" xfId="198" applyNumberFormat="1" applyFont="1" applyFill="1" applyAlignment="1">
      <alignment horizontal="left"/>
      <protection/>
    </xf>
    <xf numFmtId="2" fontId="35" fillId="0" borderId="0" xfId="198" applyNumberFormat="1" applyFont="1" applyFill="1" applyAlignment="1">
      <alignment horizontal="left"/>
      <protection/>
    </xf>
    <xf numFmtId="2" fontId="37" fillId="0" borderId="0" xfId="198" applyNumberFormat="1" applyFont="1" applyFill="1" applyAlignment="1">
      <alignment horizontal="left"/>
      <protection/>
    </xf>
    <xf numFmtId="2" fontId="36" fillId="0" borderId="0" xfId="198" applyNumberFormat="1" applyFont="1" applyFill="1" applyAlignment="1">
      <alignment horizontal="left"/>
      <protection/>
    </xf>
    <xf numFmtId="2" fontId="50" fillId="0" borderId="0" xfId="198" applyNumberFormat="1" applyFont="1" applyFill="1" applyAlignment="1">
      <alignment horizontal="left"/>
      <protection/>
    </xf>
    <xf numFmtId="2" fontId="22" fillId="0" borderId="0" xfId="198" applyNumberFormat="1" applyFont="1" applyFill="1" applyBorder="1" applyAlignment="1">
      <alignment vertical="center"/>
      <protection/>
    </xf>
    <xf numFmtId="2" fontId="18" fillId="0" borderId="0" xfId="198" applyNumberFormat="1" applyFont="1" applyFill="1" applyBorder="1" applyAlignment="1">
      <alignment horizontal="center"/>
      <protection/>
    </xf>
    <xf numFmtId="2" fontId="38" fillId="0" borderId="0" xfId="198" applyNumberFormat="1" applyFont="1" applyFill="1" applyAlignment="1">
      <alignment/>
      <protection/>
    </xf>
    <xf numFmtId="2" fontId="39" fillId="0" borderId="0" xfId="198" applyNumberFormat="1" applyFont="1" applyFill="1" applyAlignment="1">
      <alignment/>
      <protection/>
    </xf>
    <xf numFmtId="2" fontId="32" fillId="0" borderId="0" xfId="198" applyNumberFormat="1" applyFont="1" applyFill="1" applyBorder="1" applyAlignment="1">
      <alignment horizontal="center"/>
      <protection/>
    </xf>
    <xf numFmtId="2" fontId="15" fillId="0" borderId="0" xfId="198" applyNumberFormat="1" applyFont="1" applyFill="1" applyAlignment="1">
      <alignment/>
      <protection/>
    </xf>
    <xf numFmtId="2" fontId="7" fillId="0" borderId="0" xfId="198" applyNumberFormat="1" applyFont="1" applyFill="1" applyAlignment="1">
      <alignment horizontal="left"/>
      <protection/>
    </xf>
    <xf numFmtId="2" fontId="7" fillId="0" borderId="0" xfId="198" applyNumberFormat="1" applyFont="1" applyFill="1" applyAlignment="1">
      <alignment horizontal="center"/>
      <protection/>
    </xf>
    <xf numFmtId="2" fontId="49" fillId="0" borderId="0" xfId="198" applyNumberFormat="1" applyFont="1" applyFill="1" applyAlignment="1">
      <alignment horizontal="center"/>
      <protection/>
    </xf>
    <xf numFmtId="2" fontId="25" fillId="0" borderId="0" xfId="198" applyNumberFormat="1" applyFont="1" applyFill="1" applyAlignment="1">
      <alignment horizontal="center"/>
      <protection/>
    </xf>
    <xf numFmtId="2" fontId="32" fillId="0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2" fillId="0" borderId="0" xfId="187" applyFont="1" applyAlignment="1">
      <alignment/>
      <protection/>
    </xf>
    <xf numFmtId="177" fontId="3" fillId="0" borderId="0" xfId="0" applyNumberFormat="1" applyFont="1" applyFill="1" applyAlignment="1">
      <alignment/>
    </xf>
    <xf numFmtId="0" fontId="51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174" fontId="9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43" fontId="3" fillId="0" borderId="16" xfId="117" applyNumberFormat="1" applyFont="1" applyBorder="1" applyAlignment="1">
      <alignment/>
    </xf>
    <xf numFmtId="175" fontId="3" fillId="0" borderId="16" xfId="117" applyNumberFormat="1" applyFont="1" applyBorder="1" applyAlignment="1">
      <alignment/>
    </xf>
    <xf numFmtId="2" fontId="3" fillId="0" borderId="16" xfId="0" applyNumberFormat="1" applyFont="1" applyFill="1" applyBorder="1" applyAlignment="1">
      <alignment/>
    </xf>
    <xf numFmtId="178" fontId="3" fillId="0" borderId="0" xfId="0" applyNumberFormat="1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174" fontId="9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43" fontId="3" fillId="0" borderId="24" xfId="117" applyNumberFormat="1" applyFont="1" applyBorder="1" applyAlignment="1">
      <alignment/>
    </xf>
    <xf numFmtId="175" fontId="3" fillId="0" borderId="24" xfId="117" applyNumberFormat="1" applyFont="1" applyBorder="1" applyAlignment="1">
      <alignment/>
    </xf>
    <xf numFmtId="2" fontId="3" fillId="0" borderId="24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174" fontId="9" fillId="0" borderId="24" xfId="0" applyNumberFormat="1" applyFont="1" applyFill="1" applyBorder="1" applyAlignment="1">
      <alignment/>
    </xf>
    <xf numFmtId="43" fontId="3" fillId="0" borderId="24" xfId="117" applyNumberFormat="1" applyFont="1" applyFill="1" applyBorder="1" applyAlignment="1">
      <alignment/>
    </xf>
    <xf numFmtId="175" fontId="3" fillId="0" borderId="24" xfId="117" applyNumberFormat="1" applyFont="1" applyFill="1" applyBorder="1" applyAlignment="1">
      <alignment/>
    </xf>
    <xf numFmtId="0" fontId="3" fillId="0" borderId="41" xfId="0" applyFont="1" applyBorder="1" applyAlignment="1">
      <alignment/>
    </xf>
    <xf numFmtId="174" fontId="9" fillId="0" borderId="41" xfId="0" applyNumberFormat="1" applyFont="1" applyBorder="1" applyAlignment="1">
      <alignment/>
    </xf>
    <xf numFmtId="2" fontId="3" fillId="0" borderId="41" xfId="0" applyNumberFormat="1" applyFont="1" applyBorder="1" applyAlignment="1">
      <alignment/>
    </xf>
    <xf numFmtId="43" fontId="3" fillId="0" borderId="41" xfId="117" applyNumberFormat="1" applyFont="1" applyBorder="1" applyAlignment="1">
      <alignment/>
    </xf>
    <xf numFmtId="175" fontId="3" fillId="0" borderId="41" xfId="117" applyNumberFormat="1" applyFont="1" applyBorder="1" applyAlignment="1">
      <alignment/>
    </xf>
    <xf numFmtId="2" fontId="3" fillId="0" borderId="41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174" fontId="26" fillId="0" borderId="25" xfId="0" applyNumberFormat="1" applyFont="1" applyBorder="1" applyAlignment="1">
      <alignment/>
    </xf>
    <xf numFmtId="2" fontId="26" fillId="0" borderId="25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25" xfId="0" applyNumberFormat="1" applyFont="1" applyFill="1" applyBorder="1" applyAlignment="1">
      <alignment/>
    </xf>
    <xf numFmtId="175" fontId="4" fillId="0" borderId="25" xfId="117" applyNumberFormat="1" applyFont="1" applyBorder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77" fontId="3" fillId="0" borderId="0" xfId="0" applyNumberFormat="1" applyFont="1" applyAlignment="1">
      <alignment/>
    </xf>
    <xf numFmtId="0" fontId="17" fillId="0" borderId="0" xfId="0" applyFont="1" applyAlignment="1">
      <alignment/>
    </xf>
    <xf numFmtId="0" fontId="52" fillId="0" borderId="42" xfId="0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0" fontId="20" fillId="0" borderId="26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53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2" fontId="0" fillId="0" borderId="24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4" xfId="118" applyNumberFormat="1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2" fontId="0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5" xfId="118" applyNumberFormat="1" applyFont="1" applyFill="1" applyBorder="1" applyAlignment="1">
      <alignment/>
    </xf>
    <xf numFmtId="2" fontId="22" fillId="0" borderId="13" xfId="0" applyNumberFormat="1" applyFont="1" applyBorder="1" applyAlignment="1">
      <alignment/>
    </xf>
    <xf numFmtId="4" fontId="22" fillId="0" borderId="13" xfId="0" applyNumberFormat="1" applyFont="1" applyBorder="1" applyAlignment="1">
      <alignment/>
    </xf>
    <xf numFmtId="4" fontId="22" fillId="0" borderId="13" xfId="118" applyNumberFormat="1" applyFont="1" applyFill="1" applyBorder="1" applyAlignment="1">
      <alignment/>
    </xf>
    <xf numFmtId="0" fontId="16" fillId="0" borderId="0" xfId="0" applyFont="1" applyAlignment="1">
      <alignment/>
    </xf>
    <xf numFmtId="2" fontId="0" fillId="0" borderId="0" xfId="0" applyNumberFormat="1" applyFont="1" applyAlignment="1">
      <alignment/>
    </xf>
    <xf numFmtId="179" fontId="22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24" fillId="0" borderId="0" xfId="0" applyNumberFormat="1" applyFont="1" applyAlignment="1">
      <alignment/>
    </xf>
    <xf numFmtId="0" fontId="0" fillId="0" borderId="42" xfId="197" applyFont="1" applyFill="1" applyBorder="1" applyAlignment="1">
      <alignment horizontal="center"/>
      <protection/>
    </xf>
    <xf numFmtId="9" fontId="54" fillId="55" borderId="0" xfId="197" applyNumberFormat="1" applyFont="1" applyFill="1" applyBorder="1" applyAlignment="1">
      <alignment horizontal="center"/>
      <protection/>
    </xf>
    <xf numFmtId="9" fontId="0" fillId="0" borderId="0" xfId="197" applyNumberFormat="1" applyFont="1" applyFill="1" applyBorder="1" applyAlignment="1">
      <alignment horizontal="center"/>
      <protection/>
    </xf>
    <xf numFmtId="0" fontId="0" fillId="0" borderId="0" xfId="0" applyFont="1" applyAlignment="1">
      <alignment vertical="center"/>
    </xf>
    <xf numFmtId="0" fontId="0" fillId="0" borderId="13" xfId="197" applyFont="1" applyFill="1" applyBorder="1" applyAlignment="1">
      <alignment horizontal="center" vertical="center" wrapText="1"/>
      <protection/>
    </xf>
    <xf numFmtId="0" fontId="22" fillId="0" borderId="13" xfId="197" applyFont="1" applyFill="1" applyBorder="1" applyAlignment="1">
      <alignment horizontal="center" vertical="center" wrapText="1"/>
      <protection/>
    </xf>
    <xf numFmtId="0" fontId="0" fillId="0" borderId="24" xfId="197" applyFont="1" applyFill="1" applyBorder="1" applyAlignment="1">
      <alignment horizontal="center"/>
      <protection/>
    </xf>
    <xf numFmtId="180" fontId="0" fillId="0" borderId="24" xfId="118" applyNumberFormat="1" applyFont="1" applyFill="1" applyBorder="1" applyAlignment="1">
      <alignment/>
    </xf>
    <xf numFmtId="4" fontId="0" fillId="0" borderId="24" xfId="118" applyNumberFormat="1" applyFont="1" applyFill="1" applyBorder="1" applyAlignment="1">
      <alignment horizontal="right"/>
    </xf>
    <xf numFmtId="3" fontId="22" fillId="0" borderId="33" xfId="118" applyNumberFormat="1" applyFont="1" applyFill="1" applyBorder="1" applyAlignment="1">
      <alignment/>
    </xf>
    <xf numFmtId="3" fontId="0" fillId="0" borderId="33" xfId="118" applyNumberFormat="1" applyFont="1" applyFill="1" applyBorder="1" applyAlignment="1">
      <alignment horizontal="center"/>
    </xf>
    <xf numFmtId="3" fontId="22" fillId="0" borderId="33" xfId="118" applyNumberFormat="1" applyFont="1" applyFill="1" applyBorder="1" applyAlignment="1">
      <alignment horizontal="center"/>
    </xf>
    <xf numFmtId="3" fontId="0" fillId="0" borderId="33" xfId="118" applyNumberFormat="1" applyFont="1" applyFill="1" applyBorder="1" applyAlignment="1">
      <alignment/>
    </xf>
    <xf numFmtId="3" fontId="0" fillId="0" borderId="33" xfId="197" applyNumberFormat="1" applyFont="1" applyFill="1" applyBorder="1" applyAlignment="1">
      <alignment horizontal="right"/>
      <protection/>
    </xf>
    <xf numFmtId="3" fontId="0" fillId="0" borderId="33" xfId="0" applyNumberFormat="1" applyFont="1" applyBorder="1" applyAlignment="1">
      <alignment/>
    </xf>
    <xf numFmtId="3" fontId="22" fillId="0" borderId="24" xfId="118" applyNumberFormat="1" applyFont="1" applyFill="1" applyBorder="1" applyAlignment="1">
      <alignment/>
    </xf>
    <xf numFmtId="3" fontId="0" fillId="0" borderId="24" xfId="118" applyNumberFormat="1" applyFont="1" applyFill="1" applyBorder="1" applyAlignment="1">
      <alignment horizontal="center"/>
    </xf>
    <xf numFmtId="3" fontId="22" fillId="0" borderId="24" xfId="118" applyNumberFormat="1" applyFont="1" applyFill="1" applyBorder="1" applyAlignment="1">
      <alignment horizontal="center"/>
    </xf>
    <xf numFmtId="3" fontId="0" fillId="0" borderId="24" xfId="118" applyNumberFormat="1" applyFont="1" applyFill="1" applyBorder="1" applyAlignment="1">
      <alignment/>
    </xf>
    <xf numFmtId="3" fontId="0" fillId="0" borderId="24" xfId="197" applyNumberFormat="1" applyFont="1" applyFill="1" applyBorder="1" applyAlignment="1">
      <alignment horizontal="right"/>
      <protection/>
    </xf>
    <xf numFmtId="3" fontId="0" fillId="0" borderId="24" xfId="0" applyNumberFormat="1" applyFont="1" applyBorder="1" applyAlignment="1">
      <alignment/>
    </xf>
    <xf numFmtId="0" fontId="0" fillId="0" borderId="41" xfId="197" applyFont="1" applyFill="1" applyBorder="1" applyAlignment="1">
      <alignment horizontal="center"/>
      <protection/>
    </xf>
    <xf numFmtId="180" fontId="0" fillId="0" borderId="41" xfId="118" applyNumberFormat="1" applyFont="1" applyFill="1" applyBorder="1" applyAlignment="1">
      <alignment/>
    </xf>
    <xf numFmtId="4" fontId="0" fillId="0" borderId="41" xfId="118" applyNumberFormat="1" applyFont="1" applyFill="1" applyBorder="1" applyAlignment="1">
      <alignment horizontal="right"/>
    </xf>
    <xf numFmtId="4" fontId="0" fillId="0" borderId="41" xfId="118" applyNumberFormat="1" applyFont="1" applyFill="1" applyBorder="1" applyAlignment="1">
      <alignment/>
    </xf>
    <xf numFmtId="3" fontId="22" fillId="0" borderId="41" xfId="118" applyNumberFormat="1" applyFont="1" applyFill="1" applyBorder="1" applyAlignment="1">
      <alignment/>
    </xf>
    <xf numFmtId="3" fontId="0" fillId="0" borderId="41" xfId="118" applyNumberFormat="1" applyFont="1" applyFill="1" applyBorder="1" applyAlignment="1">
      <alignment horizontal="center"/>
    </xf>
    <xf numFmtId="3" fontId="22" fillId="0" borderId="41" xfId="118" applyNumberFormat="1" applyFont="1" applyFill="1" applyBorder="1" applyAlignment="1">
      <alignment horizontal="center"/>
    </xf>
    <xf numFmtId="3" fontId="0" fillId="0" borderId="41" xfId="118" applyNumberFormat="1" applyFont="1" applyFill="1" applyBorder="1" applyAlignment="1">
      <alignment/>
    </xf>
    <xf numFmtId="3" fontId="0" fillId="0" borderId="41" xfId="197" applyNumberFormat="1" applyFont="1" applyFill="1" applyBorder="1" applyAlignment="1">
      <alignment horizontal="right"/>
      <protection/>
    </xf>
    <xf numFmtId="3" fontId="0" fillId="0" borderId="41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3" xfId="197" applyFont="1" applyFill="1" applyBorder="1" applyAlignment="1">
      <alignment horizontal="right"/>
      <protection/>
    </xf>
    <xf numFmtId="180" fontId="22" fillId="0" borderId="13" xfId="118" applyNumberFormat="1" applyFont="1" applyFill="1" applyBorder="1" applyAlignment="1">
      <alignment/>
    </xf>
    <xf numFmtId="4" fontId="22" fillId="0" borderId="13" xfId="118" applyNumberFormat="1" applyFont="1" applyFill="1" applyBorder="1" applyAlignment="1">
      <alignment horizontal="right"/>
    </xf>
    <xf numFmtId="3" fontId="22" fillId="0" borderId="13" xfId="118" applyNumberFormat="1" applyFont="1" applyFill="1" applyBorder="1" applyAlignment="1">
      <alignment horizontal="right"/>
    </xf>
    <xf numFmtId="3" fontId="22" fillId="0" borderId="13" xfId="118" applyNumberFormat="1" applyFont="1" applyFill="1" applyBorder="1" applyAlignment="1" quotePrefix="1">
      <alignment horizontal="right"/>
    </xf>
    <xf numFmtId="0" fontId="0" fillId="0" borderId="0" xfId="197" applyFont="1" applyFill="1" applyAlignment="1">
      <alignment horizontal="right"/>
      <protection/>
    </xf>
    <xf numFmtId="0" fontId="0" fillId="0" borderId="0" xfId="197" applyFont="1" applyFill="1">
      <alignment/>
      <protection/>
    </xf>
    <xf numFmtId="0" fontId="22" fillId="0" borderId="0" xfId="0" applyFont="1" applyAlignment="1">
      <alignment vertical="center"/>
    </xf>
    <xf numFmtId="176" fontId="22" fillId="0" borderId="0" xfId="117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55" fillId="0" borderId="0" xfId="0" applyFont="1" applyAlignment="1">
      <alignment/>
    </xf>
    <xf numFmtId="176" fontId="0" fillId="0" borderId="0" xfId="117" applyNumberFormat="1" applyFont="1" applyAlignment="1">
      <alignment/>
    </xf>
    <xf numFmtId="176" fontId="0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3" fontId="23" fillId="0" borderId="13" xfId="0" applyNumberFormat="1" applyFont="1" applyBorder="1" applyAlignment="1">
      <alignment horizontal="center" vertical="center"/>
    </xf>
    <xf numFmtId="43" fontId="0" fillId="0" borderId="13" xfId="117" applyNumberFormat="1" applyFont="1" applyBorder="1" applyAlignment="1">
      <alignment vertical="center"/>
    </xf>
    <xf numFmtId="43" fontId="0" fillId="0" borderId="13" xfId="117" applyNumberFormat="1" applyFont="1" applyBorder="1" applyAlignment="1">
      <alignment horizontal="center" vertical="center"/>
    </xf>
    <xf numFmtId="176" fontId="0" fillId="0" borderId="13" xfId="117" applyNumberFormat="1" applyFont="1" applyBorder="1" applyAlignment="1">
      <alignment horizontal="center" vertical="center"/>
    </xf>
    <xf numFmtId="173" fontId="0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center" vertical="center"/>
    </xf>
    <xf numFmtId="43" fontId="0" fillId="0" borderId="27" xfId="117" applyNumberFormat="1" applyFont="1" applyBorder="1" applyAlignment="1">
      <alignment vertical="center"/>
    </xf>
    <xf numFmtId="43" fontId="17" fillId="0" borderId="13" xfId="117" applyNumberFormat="1" applyFont="1" applyBorder="1" applyAlignment="1">
      <alignment/>
    </xf>
    <xf numFmtId="43" fontId="17" fillId="0" borderId="13" xfId="117" applyNumberFormat="1" applyFont="1" applyBorder="1" applyAlignment="1">
      <alignment horizontal="right" vertical="center"/>
    </xf>
    <xf numFmtId="43" fontId="0" fillId="0" borderId="13" xfId="117" applyNumberFormat="1" applyFont="1" applyBorder="1" applyAlignment="1">
      <alignment horizontal="right" vertical="center"/>
    </xf>
    <xf numFmtId="3" fontId="22" fillId="0" borderId="13" xfId="0" applyNumberFormat="1" applyFont="1" applyBorder="1" applyAlignment="1">
      <alignment horizontal="center" vertical="center"/>
    </xf>
    <xf numFmtId="43" fontId="22" fillId="0" borderId="13" xfId="117" applyNumberFormat="1" applyFont="1" applyBorder="1" applyAlignment="1">
      <alignment vertical="center"/>
    </xf>
    <xf numFmtId="43" fontId="22" fillId="0" borderId="13" xfId="117" applyNumberFormat="1" applyFont="1" applyBorder="1" applyAlignment="1">
      <alignment horizontal="center" vertical="center"/>
    </xf>
    <xf numFmtId="176" fontId="22" fillId="0" borderId="13" xfId="117" applyNumberFormat="1" applyFont="1" applyBorder="1" applyAlignment="1">
      <alignment horizontal="center" vertical="center"/>
    </xf>
    <xf numFmtId="173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4" fontId="58" fillId="0" borderId="13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33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vertical="center" wrapText="1"/>
    </xf>
    <xf numFmtId="43" fontId="7" fillId="0" borderId="24" xfId="117" applyNumberFormat="1" applyFont="1" applyBorder="1" applyAlignment="1">
      <alignment vertical="center" wrapText="1"/>
    </xf>
    <xf numFmtId="0" fontId="33" fillId="0" borderId="44" xfId="0" applyFont="1" applyBorder="1" applyAlignment="1">
      <alignment/>
    </xf>
    <xf numFmtId="0" fontId="33" fillId="0" borderId="29" xfId="0" applyFont="1" applyBorder="1" applyAlignment="1">
      <alignment/>
    </xf>
    <xf numFmtId="0" fontId="0" fillId="0" borderId="24" xfId="0" applyBorder="1" applyAlignment="1">
      <alignment/>
    </xf>
    <xf numFmtId="4" fontId="9" fillId="0" borderId="24" xfId="0" applyNumberFormat="1" applyFont="1" applyBorder="1" applyAlignment="1">
      <alignment vertical="center" wrapText="1"/>
    </xf>
    <xf numFmtId="4" fontId="7" fillId="0" borderId="24" xfId="0" applyNumberFormat="1" applyFont="1" applyBorder="1" applyAlignment="1" quotePrefix="1">
      <alignment horizontal="right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vertical="center" wrapText="1"/>
    </xf>
    <xf numFmtId="4" fontId="20" fillId="0" borderId="25" xfId="0" applyNumberFormat="1" applyFont="1" applyBorder="1" applyAlignment="1">
      <alignment vertical="center" wrapText="1"/>
    </xf>
    <xf numFmtId="0" fontId="0" fillId="0" borderId="25" xfId="0" applyBorder="1" applyAlignment="1">
      <alignment/>
    </xf>
    <xf numFmtId="4" fontId="1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 horizontal="right"/>
    </xf>
    <xf numFmtId="4" fontId="3" fillId="0" borderId="24" xfId="117" applyNumberFormat="1" applyFont="1" applyFill="1" applyBorder="1" applyAlignment="1">
      <alignment horizontal="right"/>
    </xf>
    <xf numFmtId="0" fontId="3" fillId="0" borderId="24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  <xf numFmtId="4" fontId="3" fillId="0" borderId="24" xfId="117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/>
    </xf>
    <xf numFmtId="4" fontId="7" fillId="0" borderId="24" xfId="0" applyNumberFormat="1" applyFont="1" applyFill="1" applyBorder="1" applyAlignment="1">
      <alignment/>
    </xf>
    <xf numFmtId="4" fontId="7" fillId="0" borderId="24" xfId="117" applyNumberFormat="1" applyFont="1" applyFill="1" applyBorder="1" applyAlignment="1">
      <alignment horizontal="right"/>
    </xf>
    <xf numFmtId="0" fontId="7" fillId="0" borderId="24" xfId="0" applyNumberFormat="1" applyFont="1" applyFill="1" applyBorder="1" applyAlignment="1">
      <alignment horizontal="right"/>
    </xf>
    <xf numFmtId="0" fontId="3" fillId="0" borderId="24" xfId="205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wrapText="1"/>
    </xf>
    <xf numFmtId="0" fontId="0" fillId="0" borderId="25" xfId="0" applyNumberForma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8" fillId="0" borderId="25" xfId="0" applyNumberFormat="1" applyFont="1" applyFill="1" applyBorder="1" applyAlignment="1">
      <alignment horizontal="right" vertical="center" wrapText="1"/>
    </xf>
    <xf numFmtId="4" fontId="8" fillId="0" borderId="25" xfId="117" applyNumberFormat="1" applyFont="1" applyFill="1" applyBorder="1" applyAlignment="1">
      <alignment horizontal="right" vertical="center" wrapText="1"/>
    </xf>
    <xf numFmtId="3" fontId="8" fillId="0" borderId="25" xfId="117" applyNumberFormat="1" applyFont="1" applyFill="1" applyBorder="1" applyAlignment="1">
      <alignment horizontal="right" vertical="center" wrapText="1"/>
    </xf>
    <xf numFmtId="171" fontId="8" fillId="0" borderId="25" xfId="117" applyFont="1" applyFill="1" applyBorder="1" applyAlignment="1">
      <alignment horizontal="right" vertical="center" wrapText="1"/>
    </xf>
    <xf numFmtId="0" fontId="8" fillId="0" borderId="25" xfId="117" applyNumberFormat="1" applyFont="1" applyFill="1" applyBorder="1" applyAlignment="1">
      <alignment horizontal="right" vertical="center" wrapText="1"/>
    </xf>
    <xf numFmtId="4" fontId="1" fillId="0" borderId="25" xfId="117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0" fontId="9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center"/>
    </xf>
    <xf numFmtId="0" fontId="5" fillId="0" borderId="0" xfId="0" applyNumberFormat="1" applyFont="1" applyFill="1" applyAlignment="1" quotePrefix="1">
      <alignment horizontal="left"/>
    </xf>
    <xf numFmtId="4" fontId="4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51" fillId="0" borderId="13" xfId="0" applyFont="1" applyFill="1" applyBorder="1" applyAlignment="1">
      <alignment horizontal="center" vertical="center" wrapText="1"/>
    </xf>
    <xf numFmtId="177" fontId="51" fillId="0" borderId="13" xfId="0" applyNumberFormat="1" applyFont="1" applyFill="1" applyBorder="1" applyAlignment="1">
      <alignment horizontal="center" vertical="center" wrapText="1"/>
    </xf>
    <xf numFmtId="43" fontId="4" fillId="0" borderId="25" xfId="117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2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180" fontId="7" fillId="0" borderId="24" xfId="118" applyNumberFormat="1" applyFont="1" applyFill="1" applyBorder="1" applyAlignment="1">
      <alignment/>
    </xf>
    <xf numFmtId="183" fontId="7" fillId="0" borderId="24" xfId="118" applyNumberFormat="1" applyFont="1" applyFill="1" applyBorder="1" applyAlignment="1">
      <alignment/>
    </xf>
    <xf numFmtId="183" fontId="0" fillId="0" borderId="24" xfId="118" applyNumberFormat="1" applyFont="1" applyFill="1" applyBorder="1" applyAlignment="1">
      <alignment/>
    </xf>
    <xf numFmtId="43" fontId="7" fillId="0" borderId="24" xfId="197" applyNumberFormat="1" applyFont="1" applyFill="1" applyBorder="1" applyAlignment="1">
      <alignment horizontal="right"/>
      <protection/>
    </xf>
    <xf numFmtId="43" fontId="0" fillId="0" borderId="24" xfId="117" applyNumberFormat="1" applyFont="1" applyBorder="1" applyAlignment="1">
      <alignment/>
    </xf>
    <xf numFmtId="0" fontId="9" fillId="55" borderId="24" xfId="197" applyFont="1" applyFill="1" applyBorder="1" applyAlignment="1">
      <alignment horizontal="center"/>
      <protection/>
    </xf>
    <xf numFmtId="180" fontId="9" fillId="55" borderId="24" xfId="118" applyNumberFormat="1" applyFont="1" applyFill="1" applyBorder="1" applyAlignment="1">
      <alignment/>
    </xf>
    <xf numFmtId="183" fontId="9" fillId="0" borderId="24" xfId="118" applyNumberFormat="1" applyFont="1" applyFill="1" applyBorder="1" applyAlignment="1">
      <alignment/>
    </xf>
    <xf numFmtId="183" fontId="59" fillId="0" borderId="24" xfId="118" applyNumberFormat="1" applyFont="1" applyFill="1" applyBorder="1" applyAlignment="1">
      <alignment/>
    </xf>
    <xf numFmtId="184" fontId="59" fillId="0" borderId="24" xfId="118" applyNumberFormat="1" applyFont="1" applyFill="1" applyBorder="1" applyAlignment="1">
      <alignment/>
    </xf>
    <xf numFmtId="43" fontId="9" fillId="0" borderId="24" xfId="197" applyNumberFormat="1" applyFont="1" applyFill="1" applyBorder="1" applyAlignment="1">
      <alignment horizontal="right"/>
      <protection/>
    </xf>
    <xf numFmtId="0" fontId="59" fillId="0" borderId="24" xfId="0" applyFont="1" applyBorder="1" applyAlignment="1">
      <alignment/>
    </xf>
    <xf numFmtId="0" fontId="59" fillId="0" borderId="0" xfId="0" applyFont="1" applyAlignment="1">
      <alignment/>
    </xf>
    <xf numFmtId="0" fontId="7" fillId="55" borderId="24" xfId="197" applyFont="1" applyFill="1" applyBorder="1" applyAlignment="1">
      <alignment horizontal="center"/>
      <protection/>
    </xf>
    <xf numFmtId="180" fontId="7" fillId="55" borderId="24" xfId="118" applyNumberFormat="1" applyFont="1" applyFill="1" applyBorder="1" applyAlignment="1">
      <alignment/>
    </xf>
    <xf numFmtId="0" fontId="13" fillId="0" borderId="24" xfId="0" applyFont="1" applyBorder="1" applyAlignment="1">
      <alignment/>
    </xf>
    <xf numFmtId="176" fontId="7" fillId="0" borderId="24" xfId="117" applyNumberFormat="1" applyFont="1" applyBorder="1" applyAlignment="1">
      <alignment/>
    </xf>
    <xf numFmtId="0" fontId="59" fillId="0" borderId="0" xfId="0" applyFont="1" applyFill="1" applyAlignment="1">
      <alignment/>
    </xf>
    <xf numFmtId="0" fontId="13" fillId="55" borderId="24" xfId="0" applyFont="1" applyFill="1" applyBorder="1" applyAlignment="1">
      <alignment/>
    </xf>
    <xf numFmtId="0" fontId="0" fillId="0" borderId="0" xfId="0" applyFont="1" applyFill="1" applyAlignment="1">
      <alignment/>
    </xf>
    <xf numFmtId="183" fontId="7" fillId="0" borderId="24" xfId="118" applyNumberFormat="1" applyFont="1" applyFill="1" applyBorder="1" applyAlignment="1">
      <alignment horizontal="right"/>
    </xf>
    <xf numFmtId="2" fontId="59" fillId="0" borderId="0" xfId="0" applyNumberFormat="1" applyFont="1" applyAlignment="1">
      <alignment/>
    </xf>
    <xf numFmtId="0" fontId="7" fillId="0" borderId="25" xfId="197" applyFont="1" applyFill="1" applyBorder="1" applyAlignment="1">
      <alignment horizontal="right"/>
      <protection/>
    </xf>
    <xf numFmtId="0" fontId="20" fillId="0" borderId="25" xfId="197" applyFont="1" applyFill="1" applyBorder="1">
      <alignment/>
      <protection/>
    </xf>
    <xf numFmtId="180" fontId="20" fillId="0" borderId="25" xfId="197" applyNumberFormat="1" applyFont="1" applyFill="1" applyBorder="1">
      <alignment/>
      <protection/>
    </xf>
    <xf numFmtId="183" fontId="20" fillId="0" borderId="25" xfId="197" applyNumberFormat="1" applyFont="1" applyFill="1" applyBorder="1">
      <alignment/>
      <protection/>
    </xf>
    <xf numFmtId="175" fontId="20" fillId="0" borderId="25" xfId="117" applyNumberFormat="1" applyFont="1" applyBorder="1" applyAlignment="1">
      <alignment/>
    </xf>
    <xf numFmtId="43" fontId="22" fillId="0" borderId="25" xfId="0" applyNumberFormat="1" applyFont="1" applyBorder="1" applyAlignment="1">
      <alignment/>
    </xf>
    <xf numFmtId="180" fontId="7" fillId="55" borderId="0" xfId="118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0" fontId="7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3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175" fontId="21" fillId="0" borderId="16" xfId="0" applyNumberFormat="1" applyFont="1" applyFill="1" applyBorder="1" applyAlignment="1">
      <alignment horizontal="center" vertical="center" wrapText="1"/>
    </xf>
    <xf numFmtId="176" fontId="21" fillId="0" borderId="16" xfId="0" applyNumberFormat="1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vertical="center"/>
    </xf>
    <xf numFmtId="0" fontId="21" fillId="0" borderId="24" xfId="0" applyFont="1" applyFill="1" applyBorder="1" applyAlignment="1">
      <alignment horizontal="center" vertical="center"/>
    </xf>
    <xf numFmtId="175" fontId="21" fillId="0" borderId="24" xfId="0" applyNumberFormat="1" applyFont="1" applyFill="1" applyBorder="1" applyAlignment="1">
      <alignment horizontal="center" vertical="center" wrapText="1"/>
    </xf>
    <xf numFmtId="176" fontId="21" fillId="0" borderId="24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175" fontId="21" fillId="0" borderId="13" xfId="0" applyNumberFormat="1" applyFont="1" applyFill="1" applyBorder="1" applyAlignment="1">
      <alignment horizontal="center" vertical="center" wrapText="1"/>
    </xf>
    <xf numFmtId="176" fontId="21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0" fontId="20" fillId="0" borderId="0" xfId="205" applyNumberFormat="1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0" fontId="7" fillId="0" borderId="0" xfId="205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0" fontId="21" fillId="0" borderId="16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171" fontId="21" fillId="0" borderId="16" xfId="117" applyFont="1" applyFill="1" applyBorder="1" applyAlignment="1">
      <alignment horizontal="center" vertical="center" wrapText="1"/>
    </xf>
    <xf numFmtId="171" fontId="24" fillId="0" borderId="24" xfId="117" applyFont="1" applyFill="1" applyBorder="1" applyAlignment="1">
      <alignment horizontal="center" vertical="center" wrapText="1"/>
    </xf>
    <xf numFmtId="171" fontId="21" fillId="0" borderId="24" xfId="117" applyFont="1" applyFill="1" applyBorder="1" applyAlignment="1">
      <alignment horizontal="center" vertical="center" wrapText="1"/>
    </xf>
    <xf numFmtId="171" fontId="21" fillId="0" borderId="13" xfId="117" applyFont="1" applyFill="1" applyBorder="1" applyAlignment="1">
      <alignment horizontal="center" vertical="center" wrapText="1"/>
    </xf>
    <xf numFmtId="182" fontId="21" fillId="0" borderId="16" xfId="117" applyNumberFormat="1" applyFont="1" applyFill="1" applyBorder="1" applyAlignment="1">
      <alignment horizontal="center" vertical="center" wrapText="1"/>
    </xf>
    <xf numFmtId="182" fontId="24" fillId="0" borderId="24" xfId="117" applyNumberFormat="1" applyFont="1" applyFill="1" applyBorder="1" applyAlignment="1">
      <alignment horizontal="center" vertical="center" wrapText="1"/>
    </xf>
    <xf numFmtId="182" fontId="21" fillId="0" borderId="24" xfId="117" applyNumberFormat="1" applyFont="1" applyFill="1" applyBorder="1" applyAlignment="1">
      <alignment horizontal="center" vertical="center" wrapText="1"/>
    </xf>
    <xf numFmtId="182" fontId="21" fillId="0" borderId="13" xfId="117" applyNumberFormat="1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0" fontId="7" fillId="0" borderId="16" xfId="197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183" fontId="7" fillId="0" borderId="16" xfId="118" applyNumberFormat="1" applyFont="1" applyFill="1" applyBorder="1" applyAlignment="1">
      <alignment/>
    </xf>
    <xf numFmtId="183" fontId="0" fillId="0" borderId="16" xfId="118" applyNumberFormat="1" applyFont="1" applyFill="1" applyBorder="1" applyAlignment="1">
      <alignment/>
    </xf>
    <xf numFmtId="43" fontId="7" fillId="0" borderId="16" xfId="197" applyNumberFormat="1" applyFont="1" applyFill="1" applyBorder="1" applyAlignment="1">
      <alignment horizontal="right"/>
      <protection/>
    </xf>
    <xf numFmtId="0" fontId="7" fillId="0" borderId="16" xfId="0" applyFont="1" applyBorder="1" applyAlignment="1">
      <alignment/>
    </xf>
    <xf numFmtId="0" fontId="20" fillId="0" borderId="13" xfId="197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vertical="center"/>
    </xf>
    <xf numFmtId="186" fontId="21" fillId="0" borderId="13" xfId="205" applyNumberFormat="1" applyFont="1" applyFill="1" applyBorder="1" applyAlignment="1">
      <alignment vertical="center"/>
    </xf>
    <xf numFmtId="2" fontId="47" fillId="0" borderId="24" xfId="198" applyNumberFormat="1" applyFont="1" applyFill="1" applyBorder="1" applyAlignment="1">
      <alignment horizontal="center" vertical="center"/>
      <protection/>
    </xf>
    <xf numFmtId="2" fontId="47" fillId="0" borderId="16" xfId="198" applyNumberFormat="1" applyFont="1" applyFill="1" applyBorder="1" applyAlignment="1">
      <alignment horizontal="center" vertical="center"/>
      <protection/>
    </xf>
    <xf numFmtId="9" fontId="3" fillId="0" borderId="16" xfId="205" applyFont="1" applyBorder="1" applyAlignment="1">
      <alignment/>
    </xf>
    <xf numFmtId="176" fontId="3" fillId="0" borderId="16" xfId="117" applyNumberFormat="1" applyFont="1" applyFill="1" applyBorder="1" applyAlignment="1">
      <alignment/>
    </xf>
    <xf numFmtId="171" fontId="0" fillId="0" borderId="24" xfId="117" applyFont="1" applyFill="1" applyBorder="1" applyAlignment="1">
      <alignment/>
    </xf>
    <xf numFmtId="0" fontId="7" fillId="55" borderId="33" xfId="197" applyFont="1" applyFill="1" applyBorder="1" applyAlignment="1">
      <alignment horizontal="center"/>
      <protection/>
    </xf>
    <xf numFmtId="2" fontId="7" fillId="55" borderId="33" xfId="118" applyNumberFormat="1" applyFont="1" applyFill="1" applyBorder="1" applyAlignment="1">
      <alignment/>
    </xf>
    <xf numFmtId="2" fontId="7" fillId="0" borderId="33" xfId="118" applyNumberFormat="1" applyFont="1" applyFill="1" applyBorder="1" applyAlignment="1">
      <alignment horizontal="right"/>
    </xf>
    <xf numFmtId="183" fontId="0" fillId="0" borderId="33" xfId="118" applyNumberFormat="1" applyFont="1" applyFill="1" applyBorder="1" applyAlignment="1">
      <alignment/>
    </xf>
    <xf numFmtId="43" fontId="7" fillId="0" borderId="33" xfId="197" applyNumberFormat="1" applyFont="1" applyFill="1" applyBorder="1" applyAlignment="1">
      <alignment horizontal="right"/>
      <protection/>
    </xf>
    <xf numFmtId="43" fontId="0" fillId="0" borderId="33" xfId="117" applyNumberFormat="1" applyFont="1" applyBorder="1" applyAlignment="1">
      <alignment/>
    </xf>
    <xf numFmtId="0" fontId="13" fillId="0" borderId="33" xfId="0" applyFont="1" applyBorder="1" applyAlignment="1">
      <alignment/>
    </xf>
    <xf numFmtId="0" fontId="20" fillId="0" borderId="25" xfId="197" applyFont="1" applyFill="1" applyBorder="1" applyAlignment="1">
      <alignment horizontal="center" vertical="center" wrapText="1"/>
      <protection/>
    </xf>
    <xf numFmtId="176" fontId="0" fillId="0" borderId="16" xfId="127" applyNumberFormat="1" applyFont="1" applyBorder="1" applyAlignment="1">
      <alignment/>
    </xf>
    <xf numFmtId="176" fontId="59" fillId="0" borderId="24" xfId="127" applyNumberFormat="1" applyFont="1" applyBorder="1" applyAlignment="1">
      <alignment/>
    </xf>
    <xf numFmtId="176" fontId="0" fillId="0" borderId="24" xfId="127" applyNumberFormat="1" applyFont="1" applyBorder="1" applyAlignment="1">
      <alignment/>
    </xf>
    <xf numFmtId="0" fontId="59" fillId="0" borderId="24" xfId="0" applyFont="1" applyBorder="1" applyAlignment="1">
      <alignment horizontal="center" wrapText="1"/>
    </xf>
    <xf numFmtId="176" fontId="7" fillId="0" borderId="24" xfId="117" applyNumberFormat="1" applyFont="1" applyBorder="1" applyAlignment="1">
      <alignment horizontal="center" wrapText="1"/>
    </xf>
    <xf numFmtId="0" fontId="13" fillId="0" borderId="24" xfId="0" applyFont="1" applyBorder="1" applyAlignment="1">
      <alignment horizontal="center"/>
    </xf>
    <xf numFmtId="171" fontId="21" fillId="0" borderId="16" xfId="117" applyNumberFormat="1" applyFont="1" applyFill="1" applyBorder="1" applyAlignment="1">
      <alignment horizontal="center" vertical="center" wrapText="1"/>
    </xf>
    <xf numFmtId="171" fontId="24" fillId="0" borderId="24" xfId="117" applyNumberFormat="1" applyFont="1" applyFill="1" applyBorder="1" applyAlignment="1">
      <alignment horizontal="center" vertical="center" wrapText="1"/>
    </xf>
    <xf numFmtId="171" fontId="21" fillId="0" borderId="24" xfId="117" applyNumberFormat="1" applyFont="1" applyFill="1" applyBorder="1" applyAlignment="1">
      <alignment horizontal="center" vertical="center" wrapText="1"/>
    </xf>
    <xf numFmtId="171" fontId="21" fillId="0" borderId="13" xfId="117" applyNumberFormat="1" applyFont="1" applyFill="1" applyBorder="1" applyAlignment="1">
      <alignment horizontal="center" vertical="center" wrapText="1"/>
    </xf>
    <xf numFmtId="176" fontId="20" fillId="0" borderId="13" xfId="117" applyNumberFormat="1" applyFont="1" applyFill="1" applyBorder="1" applyAlignment="1">
      <alignment vertical="center"/>
    </xf>
    <xf numFmtId="0" fontId="58" fillId="0" borderId="33" xfId="139" applyNumberFormat="1" applyFont="1" applyFill="1" applyBorder="1" applyAlignment="1">
      <alignment/>
    </xf>
    <xf numFmtId="0" fontId="58" fillId="0" borderId="24" xfId="139" applyNumberFormat="1" applyFont="1" applyFill="1" applyBorder="1" applyAlignment="1">
      <alignment/>
    </xf>
    <xf numFmtId="0" fontId="58" fillId="0" borderId="25" xfId="139" applyNumberFormat="1" applyFont="1" applyFill="1" applyBorder="1" applyAlignment="1">
      <alignment/>
    </xf>
    <xf numFmtId="0" fontId="58" fillId="0" borderId="33" xfId="140" applyNumberFormat="1" applyFont="1" applyFill="1" applyBorder="1" applyAlignment="1">
      <alignment horizontal="right"/>
    </xf>
    <xf numFmtId="0" fontId="58" fillId="0" borderId="24" xfId="140" applyNumberFormat="1" applyFont="1" applyFill="1" applyBorder="1" applyAlignment="1">
      <alignment/>
    </xf>
    <xf numFmtId="0" fontId="58" fillId="0" borderId="25" xfId="140" applyNumberFormat="1" applyFont="1" applyFill="1" applyBorder="1" applyAlignment="1">
      <alignment/>
    </xf>
    <xf numFmtId="0" fontId="58" fillId="0" borderId="33" xfId="124" applyNumberFormat="1" applyFont="1" applyFill="1" applyBorder="1" applyAlignment="1">
      <alignment/>
    </xf>
    <xf numFmtId="0" fontId="58" fillId="0" borderId="24" xfId="124" applyNumberFormat="1" applyFont="1" applyFill="1" applyBorder="1" applyAlignment="1">
      <alignment/>
    </xf>
    <xf numFmtId="0" fontId="58" fillId="0" borderId="25" xfId="124" applyNumberFormat="1" applyFont="1" applyFill="1" applyBorder="1" applyAlignment="1">
      <alignment/>
    </xf>
    <xf numFmtId="0" fontId="109" fillId="0" borderId="16" xfId="184" applyFont="1" applyBorder="1">
      <alignment/>
      <protection/>
    </xf>
    <xf numFmtId="0" fontId="109" fillId="0" borderId="24" xfId="184" applyFont="1" applyBorder="1">
      <alignment/>
      <protection/>
    </xf>
    <xf numFmtId="0" fontId="109" fillId="0" borderId="25" xfId="184" applyFont="1" applyBorder="1">
      <alignment/>
      <protection/>
    </xf>
    <xf numFmtId="0" fontId="20" fillId="0" borderId="26" xfId="0" applyFont="1" applyFill="1" applyBorder="1" applyAlignment="1">
      <alignment/>
    </xf>
    <xf numFmtId="43" fontId="20" fillId="0" borderId="26" xfId="0" applyNumberFormat="1" applyFont="1" applyFill="1" applyBorder="1" applyAlignment="1">
      <alignment/>
    </xf>
    <xf numFmtId="175" fontId="20" fillId="0" borderId="26" xfId="0" applyNumberFormat="1" applyFont="1" applyFill="1" applyBorder="1" applyAlignment="1">
      <alignment/>
    </xf>
    <xf numFmtId="182" fontId="26" fillId="0" borderId="26" xfId="117" applyNumberFormat="1" applyFont="1" applyFill="1" applyBorder="1" applyAlignment="1">
      <alignment/>
    </xf>
    <xf numFmtId="175" fontId="26" fillId="0" borderId="26" xfId="0" applyNumberFormat="1" applyFont="1" applyFill="1" applyBorder="1" applyAlignment="1">
      <alignment/>
    </xf>
    <xf numFmtId="176" fontId="26" fillId="0" borderId="26" xfId="0" applyNumberFormat="1" applyFont="1" applyFill="1" applyBorder="1" applyAlignment="1">
      <alignment/>
    </xf>
    <xf numFmtId="43" fontId="26" fillId="0" borderId="26" xfId="0" applyNumberFormat="1" applyFont="1" applyFill="1" applyBorder="1" applyAlignment="1">
      <alignment/>
    </xf>
    <xf numFmtId="175" fontId="20" fillId="0" borderId="26" xfId="117" applyNumberFormat="1" applyFont="1" applyBorder="1" applyAlignment="1">
      <alignment horizontal="right"/>
    </xf>
    <xf numFmtId="0" fontId="26" fillId="0" borderId="26" xfId="0" applyFont="1" applyBorder="1" applyAlignment="1">
      <alignment/>
    </xf>
    <xf numFmtId="0" fontId="26" fillId="0" borderId="26" xfId="0" applyFont="1" applyBorder="1" applyAlignment="1">
      <alignment horizontal="center"/>
    </xf>
    <xf numFmtId="176" fontId="20" fillId="0" borderId="26" xfId="117" applyNumberFormat="1" applyFont="1" applyBorder="1" applyAlignment="1">
      <alignment/>
    </xf>
    <xf numFmtId="43" fontId="20" fillId="0" borderId="26" xfId="117" applyNumberFormat="1" applyFont="1" applyFill="1" applyBorder="1" applyAlignment="1">
      <alignment/>
    </xf>
    <xf numFmtId="175" fontId="27" fillId="0" borderId="26" xfId="0" applyNumberFormat="1" applyFont="1" applyFill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/>
    </xf>
    <xf numFmtId="175" fontId="7" fillId="0" borderId="25" xfId="0" applyNumberFormat="1" applyFont="1" applyFill="1" applyBorder="1" applyAlignment="1">
      <alignment/>
    </xf>
    <xf numFmtId="0" fontId="7" fillId="0" borderId="25" xfId="0" applyNumberFormat="1" applyFont="1" applyFill="1" applyBorder="1" applyAlignment="1">
      <alignment/>
    </xf>
    <xf numFmtId="175" fontId="7" fillId="0" borderId="25" xfId="0" applyNumberFormat="1" applyFont="1" applyBorder="1" applyAlignment="1">
      <alignment/>
    </xf>
    <xf numFmtId="176" fontId="9" fillId="0" borderId="25" xfId="117" applyNumberFormat="1" applyFont="1" applyBorder="1" applyAlignment="1">
      <alignment/>
    </xf>
    <xf numFmtId="175" fontId="9" fillId="0" borderId="25" xfId="117" applyNumberFormat="1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5" xfId="0" applyFont="1" applyBorder="1" applyAlignment="1">
      <alignment horizontal="center"/>
    </xf>
    <xf numFmtId="43" fontId="7" fillId="0" borderId="25" xfId="117" applyNumberFormat="1" applyFont="1" applyFill="1" applyBorder="1" applyAlignment="1">
      <alignment/>
    </xf>
    <xf numFmtId="176" fontId="7" fillId="0" borderId="24" xfId="138" applyNumberFormat="1" applyFont="1" applyBorder="1" applyAlignment="1">
      <alignment horizontal="center" wrapText="1"/>
    </xf>
    <xf numFmtId="177" fontId="3" fillId="8" borderId="16" xfId="129" applyNumberFormat="1" applyFont="1" applyFill="1" applyBorder="1" applyAlignment="1">
      <alignment/>
    </xf>
    <xf numFmtId="177" fontId="3" fillId="8" borderId="16" xfId="0" applyNumberFormat="1" applyFont="1" applyFill="1" applyBorder="1" applyAlignment="1">
      <alignment/>
    </xf>
    <xf numFmtId="177" fontId="3" fillId="8" borderId="24" xfId="129" applyNumberFormat="1" applyFont="1" applyFill="1" applyBorder="1" applyAlignment="1">
      <alignment/>
    </xf>
    <xf numFmtId="177" fontId="7" fillId="8" borderId="24" xfId="129" applyNumberFormat="1" applyFont="1" applyFill="1" applyBorder="1" applyAlignment="1">
      <alignment/>
    </xf>
    <xf numFmtId="177" fontId="3" fillId="8" borderId="24" xfId="0" applyNumberFormat="1" applyFont="1" applyFill="1" applyBorder="1" applyAlignment="1">
      <alignment/>
    </xf>
    <xf numFmtId="43" fontId="3" fillId="8" borderId="24" xfId="129" applyFont="1" applyFill="1" applyBorder="1" applyAlignment="1">
      <alignment/>
    </xf>
    <xf numFmtId="177" fontId="3" fillId="8" borderId="25" xfId="129" applyNumberFormat="1" applyFont="1" applyFill="1" applyBorder="1" applyAlignment="1">
      <alignment/>
    </xf>
    <xf numFmtId="177" fontId="3" fillId="8" borderId="25" xfId="0" applyNumberFormat="1" applyFont="1" applyFill="1" applyBorder="1" applyAlignment="1">
      <alignment/>
    </xf>
    <xf numFmtId="43" fontId="3" fillId="8" borderId="25" xfId="129" applyFont="1" applyFill="1" applyBorder="1" applyAlignment="1">
      <alignment/>
    </xf>
    <xf numFmtId="177" fontId="3" fillId="8" borderId="33" xfId="129" applyNumberFormat="1" applyFont="1" applyFill="1" applyBorder="1" applyAlignment="1">
      <alignment/>
    </xf>
    <xf numFmtId="177" fontId="3" fillId="8" borderId="46" xfId="129" applyNumberFormat="1" applyFont="1" applyFill="1" applyBorder="1" applyAlignment="1">
      <alignment/>
    </xf>
    <xf numFmtId="177" fontId="3" fillId="8" borderId="46" xfId="0" applyNumberFormat="1" applyFont="1" applyFill="1" applyBorder="1" applyAlignment="1">
      <alignment/>
    </xf>
    <xf numFmtId="43" fontId="3" fillId="8" borderId="46" xfId="129" applyFont="1" applyFill="1" applyBorder="1" applyAlignment="1">
      <alignment/>
    </xf>
    <xf numFmtId="177" fontId="3" fillId="8" borderId="41" xfId="129" applyNumberFormat="1" applyFont="1" applyFill="1" applyBorder="1" applyAlignment="1">
      <alignment/>
    </xf>
    <xf numFmtId="177" fontId="3" fillId="8" borderId="41" xfId="0" applyNumberFormat="1" applyFont="1" applyFill="1" applyBorder="1" applyAlignment="1">
      <alignment/>
    </xf>
    <xf numFmtId="43" fontId="3" fillId="8" borderId="41" xfId="129" applyFont="1" applyFill="1" applyBorder="1" applyAlignment="1">
      <alignment/>
    </xf>
    <xf numFmtId="43" fontId="4" fillId="8" borderId="25" xfId="0" applyNumberFormat="1" applyFont="1" applyFill="1" applyBorder="1" applyAlignment="1">
      <alignment/>
    </xf>
    <xf numFmtId="43" fontId="4" fillId="8" borderId="25" xfId="129" applyNumberFormat="1" applyFont="1" applyFill="1" applyBorder="1" applyAlignment="1">
      <alignment/>
    </xf>
    <xf numFmtId="175" fontId="4" fillId="8" borderId="25" xfId="0" applyNumberFormat="1" applyFont="1" applyFill="1" applyBorder="1" applyAlignment="1">
      <alignment/>
    </xf>
    <xf numFmtId="177" fontId="4" fillId="8" borderId="25" xfId="0" applyNumberFormat="1" applyFont="1" applyFill="1" applyBorder="1" applyAlignment="1">
      <alignment/>
    </xf>
    <xf numFmtId="2" fontId="8" fillId="8" borderId="25" xfId="0" applyNumberFormat="1" applyFont="1" applyFill="1" applyBorder="1" applyAlignment="1">
      <alignment/>
    </xf>
    <xf numFmtId="2" fontId="90" fillId="0" borderId="33" xfId="198" applyNumberFormat="1" applyFont="1" applyFill="1" applyBorder="1" applyAlignment="1">
      <alignment horizontal="center" vertical="center"/>
      <protection/>
    </xf>
    <xf numFmtId="2" fontId="90" fillId="0" borderId="24" xfId="198" applyNumberFormat="1" applyFont="1" applyFill="1" applyBorder="1" applyAlignment="1">
      <alignment horizontal="center" vertical="center"/>
      <protection/>
    </xf>
    <xf numFmtId="2" fontId="90" fillId="0" borderId="24" xfId="198" applyNumberFormat="1" applyFont="1" applyFill="1" applyBorder="1" applyAlignment="1">
      <alignment horizontal="center"/>
      <protection/>
    </xf>
    <xf numFmtId="2" fontId="112" fillId="0" borderId="33" xfId="198" applyNumberFormat="1" applyFont="1" applyFill="1" applyBorder="1" applyAlignment="1">
      <alignment horizontal="center" vertical="center"/>
      <protection/>
    </xf>
    <xf numFmtId="2" fontId="112" fillId="0" borderId="24" xfId="198" applyNumberFormat="1" applyFont="1" applyFill="1" applyBorder="1" applyAlignment="1">
      <alignment horizontal="center" vertical="center"/>
      <protection/>
    </xf>
    <xf numFmtId="171" fontId="7" fillId="0" borderId="0" xfId="0" applyNumberFormat="1" applyFont="1" applyFill="1" applyAlignment="1">
      <alignment vertical="center"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4" xfId="0" applyFont="1" applyBorder="1" applyAlignment="1">
      <alignment/>
    </xf>
    <xf numFmtId="2" fontId="0" fillId="0" borderId="24" xfId="0" applyNumberFormat="1" applyFont="1" applyBorder="1" applyAlignment="1">
      <alignment/>
    </xf>
    <xf numFmtId="43" fontId="59" fillId="0" borderId="24" xfId="0" applyNumberFormat="1" applyFont="1" applyBorder="1" applyAlignment="1">
      <alignment/>
    </xf>
    <xf numFmtId="0" fontId="59" fillId="0" borderId="24" xfId="0" applyFont="1" applyBorder="1" applyAlignment="1">
      <alignment/>
    </xf>
    <xf numFmtId="2" fontId="59" fillId="0" borderId="24" xfId="0" applyNumberFormat="1" applyFont="1" applyBorder="1" applyAlignment="1">
      <alignment/>
    </xf>
    <xf numFmtId="0" fontId="0" fillId="55" borderId="24" xfId="0" applyFont="1" applyFill="1" applyBorder="1" applyAlignment="1">
      <alignment/>
    </xf>
    <xf numFmtId="2" fontId="0" fillId="55" borderId="24" xfId="0" applyNumberFormat="1" applyFont="1" applyFill="1" applyBorder="1" applyAlignment="1">
      <alignment/>
    </xf>
    <xf numFmtId="171" fontId="7" fillId="0" borderId="0" xfId="0" applyNumberFormat="1" applyFont="1" applyFill="1" applyAlignment="1">
      <alignment/>
    </xf>
    <xf numFmtId="181" fontId="7" fillId="0" borderId="0" xfId="117" applyNumberFormat="1" applyFont="1" applyFill="1" applyAlignment="1">
      <alignment/>
    </xf>
    <xf numFmtId="171" fontId="24" fillId="0" borderId="0" xfId="126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175" fontId="24" fillId="0" borderId="24" xfId="117" applyNumberFormat="1" applyFont="1" applyFill="1" applyBorder="1" applyAlignment="1">
      <alignment horizontal="center" vertical="center" wrapText="1"/>
    </xf>
    <xf numFmtId="175" fontId="24" fillId="0" borderId="24" xfId="0" applyNumberFormat="1" applyFont="1" applyFill="1" applyBorder="1" applyAlignment="1">
      <alignment horizontal="center" vertical="center" wrapText="1"/>
    </xf>
    <xf numFmtId="176" fontId="24" fillId="0" borderId="24" xfId="0" applyNumberFormat="1" applyFont="1" applyFill="1" applyBorder="1" applyAlignment="1">
      <alignment horizontal="center" vertical="center" wrapText="1"/>
    </xf>
    <xf numFmtId="186" fontId="24" fillId="0" borderId="24" xfId="205" applyNumberFormat="1" applyFont="1" applyFill="1" applyBorder="1" applyAlignment="1">
      <alignment vertical="center"/>
    </xf>
    <xf numFmtId="176" fontId="7" fillId="0" borderId="33" xfId="117" applyNumberFormat="1" applyFont="1" applyFill="1" applyBorder="1" applyAlignment="1">
      <alignment horizontal="center" vertical="center" wrapText="1"/>
    </xf>
    <xf numFmtId="182" fontId="7" fillId="0" borderId="0" xfId="117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211" fontId="24" fillId="0" borderId="24" xfId="117" applyNumberFormat="1" applyFont="1" applyFill="1" applyBorder="1" applyAlignment="1">
      <alignment horizontal="center" vertical="center" wrapText="1"/>
    </xf>
    <xf numFmtId="171" fontId="24" fillId="0" borderId="24" xfId="117" applyFont="1" applyFill="1" applyBorder="1" applyAlignment="1">
      <alignment vertical="center"/>
    </xf>
    <xf numFmtId="214" fontId="24" fillId="0" borderId="24" xfId="117" applyNumberFormat="1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vertical="center"/>
    </xf>
    <xf numFmtId="175" fontId="24" fillId="0" borderId="41" xfId="117" applyNumberFormat="1" applyFont="1" applyFill="1" applyBorder="1" applyAlignment="1">
      <alignment horizontal="center" vertical="center" wrapText="1"/>
    </xf>
    <xf numFmtId="175" fontId="24" fillId="0" borderId="41" xfId="0" applyNumberFormat="1" applyFont="1" applyFill="1" applyBorder="1" applyAlignment="1">
      <alignment horizontal="center" vertical="center" wrapText="1"/>
    </xf>
    <xf numFmtId="176" fontId="24" fillId="0" borderId="41" xfId="0" applyNumberFormat="1" applyFont="1" applyFill="1" applyBorder="1" applyAlignment="1">
      <alignment horizontal="center" vertical="center" wrapText="1"/>
    </xf>
    <xf numFmtId="186" fontId="24" fillId="0" borderId="41" xfId="205" applyNumberFormat="1" applyFont="1" applyFill="1" applyBorder="1" applyAlignment="1">
      <alignment vertical="center"/>
    </xf>
    <xf numFmtId="176" fontId="7" fillId="0" borderId="33" xfId="117" applyNumberFormat="1" applyFont="1" applyFill="1" applyBorder="1" applyAlignment="1">
      <alignment horizontal="center" vertical="center" wrapText="1"/>
    </xf>
    <xf numFmtId="171" fontId="7" fillId="0" borderId="0" xfId="117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21" fillId="0" borderId="32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/>
    </xf>
    <xf numFmtId="0" fontId="60" fillId="0" borderId="6" xfId="0" applyFont="1" applyFill="1" applyBorder="1" applyAlignment="1">
      <alignment horizontal="center" vertical="center"/>
    </xf>
    <xf numFmtId="0" fontId="60" fillId="0" borderId="34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42" xfId="199" applyFont="1" applyBorder="1" applyAlignment="1">
      <alignment horizontal="center"/>
      <protection/>
    </xf>
    <xf numFmtId="0" fontId="15" fillId="0" borderId="0" xfId="199" applyFont="1" applyBorder="1" applyAlignment="1">
      <alignment horizontal="center"/>
      <protection/>
    </xf>
    <xf numFmtId="0" fontId="16" fillId="0" borderId="3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2" fillId="0" borderId="13" xfId="196" applyFont="1" applyBorder="1" applyAlignment="1">
      <alignment horizontal="center"/>
      <protection/>
    </xf>
    <xf numFmtId="2" fontId="16" fillId="0" borderId="33" xfId="0" applyNumberFormat="1" applyFont="1" applyBorder="1" applyAlignment="1">
      <alignment horizontal="center" vertical="center" wrapText="1"/>
    </xf>
    <xf numFmtId="2" fontId="16" fillId="0" borderId="24" xfId="0" applyNumberFormat="1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0" fontId="19" fillId="0" borderId="43" xfId="199" applyFont="1" applyBorder="1" applyAlignment="1">
      <alignment horizontal="left" wrapText="1"/>
      <protection/>
    </xf>
    <xf numFmtId="0" fontId="0" fillId="0" borderId="43" xfId="0" applyBorder="1" applyAlignment="1">
      <alignment/>
    </xf>
    <xf numFmtId="0" fontId="20" fillId="0" borderId="0" xfId="199" applyFont="1" applyBorder="1" applyAlignment="1">
      <alignment horizontal="center"/>
      <protection/>
    </xf>
    <xf numFmtId="0" fontId="14" fillId="0" borderId="0" xfId="199" applyFont="1" applyBorder="1" applyAlignment="1">
      <alignment horizontal="center"/>
      <protection/>
    </xf>
    <xf numFmtId="0" fontId="16" fillId="0" borderId="32" xfId="196" applyFont="1" applyBorder="1" applyAlignment="1">
      <alignment horizontal="center" vertical="center" wrapText="1"/>
      <protection/>
    </xf>
    <xf numFmtId="0" fontId="16" fillId="0" borderId="46" xfId="196" applyFont="1" applyBorder="1" applyAlignment="1">
      <alignment horizontal="center" vertical="center" wrapText="1"/>
      <protection/>
    </xf>
    <xf numFmtId="0" fontId="16" fillId="0" borderId="26" xfId="196" applyFont="1" applyBorder="1" applyAlignment="1">
      <alignment horizontal="center" vertical="center" wrapText="1"/>
      <protection/>
    </xf>
    <xf numFmtId="0" fontId="16" fillId="0" borderId="13" xfId="0" applyFont="1" applyBorder="1" applyAlignment="1">
      <alignment horizontal="center" vertical="center" wrapText="1"/>
    </xf>
    <xf numFmtId="0" fontId="16" fillId="0" borderId="13" xfId="196" applyFont="1" applyBorder="1" applyAlignment="1">
      <alignment horizontal="center" vertical="center" wrapText="1"/>
      <protection/>
    </xf>
    <xf numFmtId="0" fontId="16" fillId="0" borderId="2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4" xfId="0" applyBorder="1" applyAlignment="1">
      <alignment horizontal="center"/>
    </xf>
    <xf numFmtId="2" fontId="12" fillId="0" borderId="32" xfId="0" applyNumberFormat="1" applyFont="1" applyBorder="1" applyAlignment="1">
      <alignment horizontal="center" vertical="center" wrapText="1"/>
    </xf>
    <xf numFmtId="2" fontId="12" fillId="0" borderId="46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0" fontId="21" fillId="0" borderId="27" xfId="196" applyFont="1" applyBorder="1" applyAlignment="1">
      <alignment horizontal="center"/>
      <protection/>
    </xf>
    <xf numFmtId="0" fontId="12" fillId="0" borderId="6" xfId="196" applyFont="1" applyBorder="1" applyAlignment="1">
      <alignment horizontal="center"/>
      <protection/>
    </xf>
    <xf numFmtId="0" fontId="12" fillId="0" borderId="34" xfId="196" applyFont="1" applyBorder="1" applyAlignment="1">
      <alignment horizontal="center"/>
      <protection/>
    </xf>
    <xf numFmtId="0" fontId="16" fillId="0" borderId="45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2" fontId="21" fillId="0" borderId="32" xfId="198" applyNumberFormat="1" applyFont="1" applyFill="1" applyBorder="1" applyAlignment="1">
      <alignment horizontal="center" vertical="center" wrapText="1"/>
      <protection/>
    </xf>
    <xf numFmtId="2" fontId="21" fillId="0" borderId="26" xfId="198" applyNumberFormat="1" applyFont="1" applyFill="1" applyBorder="1" applyAlignment="1">
      <alignment horizontal="center" vertical="center" wrapText="1"/>
      <protection/>
    </xf>
    <xf numFmtId="2" fontId="15" fillId="0" borderId="43" xfId="198" applyNumberFormat="1" applyFont="1" applyFill="1" applyBorder="1" applyAlignment="1">
      <alignment horizontal="left" vertical="center" wrapText="1"/>
      <protection/>
    </xf>
    <xf numFmtId="2" fontId="22" fillId="0" borderId="0" xfId="198" applyNumberFormat="1" applyFont="1" applyFill="1" applyBorder="1" applyAlignment="1">
      <alignment horizontal="center" vertical="center"/>
      <protection/>
    </xf>
    <xf numFmtId="2" fontId="34" fillId="0" borderId="0" xfId="198" applyNumberFormat="1" applyFont="1" applyFill="1" applyAlignment="1">
      <alignment horizontal="center"/>
      <protection/>
    </xf>
    <xf numFmtId="3" fontId="38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center" vertical="center"/>
    </xf>
    <xf numFmtId="2" fontId="40" fillId="0" borderId="0" xfId="198" applyNumberFormat="1" applyFont="1" applyFill="1" applyAlignment="1">
      <alignment horizontal="center"/>
      <protection/>
    </xf>
    <xf numFmtId="2" fontId="23" fillId="0" borderId="13" xfId="198" applyNumberFormat="1" applyFont="1" applyBorder="1" applyAlignment="1">
      <alignment horizontal="center" vertical="center" wrapText="1"/>
      <protection/>
    </xf>
    <xf numFmtId="2" fontId="23" fillId="0" borderId="32" xfId="198" applyNumberFormat="1" applyFont="1" applyBorder="1" applyAlignment="1">
      <alignment horizontal="center" vertical="center" wrapText="1"/>
      <protection/>
    </xf>
    <xf numFmtId="2" fontId="23" fillId="0" borderId="26" xfId="198" applyNumberFormat="1" applyFont="1" applyBorder="1" applyAlignment="1">
      <alignment horizontal="center" vertical="center" wrapText="1"/>
      <protection/>
    </xf>
    <xf numFmtId="2" fontId="23" fillId="0" borderId="32" xfId="198" applyNumberFormat="1" applyFont="1" applyFill="1" applyBorder="1" applyAlignment="1">
      <alignment horizontal="center" vertical="center"/>
      <protection/>
    </xf>
    <xf numFmtId="2" fontId="23" fillId="0" borderId="16" xfId="198" applyNumberFormat="1" applyFont="1" applyFill="1" applyBorder="1" applyAlignment="1">
      <alignment horizontal="center" vertical="center" wrapText="1"/>
      <protection/>
    </xf>
    <xf numFmtId="2" fontId="23" fillId="0" borderId="25" xfId="198" applyNumberFormat="1" applyFont="1" applyFill="1" applyBorder="1" applyAlignment="1">
      <alignment horizontal="center" vertical="center" wrapText="1"/>
      <protection/>
    </xf>
    <xf numFmtId="2" fontId="23" fillId="0" borderId="13" xfId="198" applyNumberFormat="1" applyFont="1" applyFill="1" applyBorder="1" applyAlignment="1">
      <alignment horizontal="center" vertical="center" wrapText="1"/>
      <protection/>
    </xf>
    <xf numFmtId="0" fontId="6" fillId="0" borderId="2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2" fillId="0" borderId="0" xfId="187" applyFont="1" applyAlignment="1">
      <alignment horizontal="center"/>
      <protection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51" fillId="0" borderId="32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2" fillId="0" borderId="32" xfId="197" applyFont="1" applyFill="1" applyBorder="1" applyAlignment="1">
      <alignment horizontal="center" vertical="center" wrapText="1"/>
      <protection/>
    </xf>
    <xf numFmtId="0" fontId="22" fillId="0" borderId="26" xfId="197" applyFont="1" applyFill="1" applyBorder="1" applyAlignment="1">
      <alignment horizontal="center" vertical="center" wrapText="1"/>
      <protection/>
    </xf>
    <xf numFmtId="0" fontId="22" fillId="0" borderId="27" xfId="197" applyFont="1" applyFill="1" applyBorder="1" applyAlignment="1">
      <alignment horizontal="center" vertical="center"/>
      <protection/>
    </xf>
    <xf numFmtId="0" fontId="22" fillId="0" borderId="6" xfId="197" applyFont="1" applyFill="1" applyBorder="1" applyAlignment="1">
      <alignment horizontal="center" vertical="center"/>
      <protection/>
    </xf>
    <xf numFmtId="0" fontId="22" fillId="0" borderId="34" xfId="197" applyFont="1" applyFill="1" applyBorder="1" applyAlignment="1">
      <alignment horizontal="center" vertical="center"/>
      <protection/>
    </xf>
    <xf numFmtId="0" fontId="0" fillId="0" borderId="32" xfId="197" applyFont="1" applyFill="1" applyBorder="1" applyAlignment="1">
      <alignment horizontal="center" vertical="center" wrapText="1"/>
      <protection/>
    </xf>
    <xf numFmtId="0" fontId="0" fillId="0" borderId="26" xfId="197" applyFont="1" applyFill="1" applyBorder="1" applyAlignment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22" fillId="0" borderId="27" xfId="197" applyFont="1" applyFill="1" applyBorder="1" applyAlignment="1">
      <alignment horizontal="center" vertical="center" wrapText="1"/>
      <protection/>
    </xf>
    <xf numFmtId="0" fontId="22" fillId="0" borderId="6" xfId="197" applyFont="1" applyFill="1" applyBorder="1" applyAlignment="1">
      <alignment horizontal="center" vertical="center" wrapText="1"/>
      <protection/>
    </xf>
    <xf numFmtId="0" fontId="22" fillId="0" borderId="34" xfId="197" applyFont="1" applyFill="1" applyBorder="1" applyAlignment="1">
      <alignment horizontal="center" vertical="center" wrapText="1"/>
      <protection/>
    </xf>
    <xf numFmtId="0" fontId="22" fillId="0" borderId="27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0" fillId="0" borderId="46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center"/>
    </xf>
    <xf numFmtId="4" fontId="21" fillId="0" borderId="13" xfId="0" applyNumberFormat="1" applyFont="1" applyBorder="1" applyAlignment="1">
      <alignment horizontal="center" vertical="center" wrapText="1"/>
    </xf>
    <xf numFmtId="4" fontId="58" fillId="0" borderId="13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0" fillId="0" borderId="16" xfId="197" applyFont="1" applyFill="1" applyBorder="1" applyAlignment="1">
      <alignment horizontal="center" vertical="center" wrapText="1"/>
      <protection/>
    </xf>
    <xf numFmtId="0" fontId="20" fillId="0" borderId="25" xfId="197" applyFont="1" applyFill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13" xfId="197" applyFont="1" applyFill="1" applyBorder="1" applyAlignment="1">
      <alignment horizontal="center" vertical="center" wrapText="1"/>
      <protection/>
    </xf>
  </cellXfs>
  <cellStyles count="22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[0]_BRE" xfId="22"/>
    <cellStyle name="??_ Att. 1- Cover" xfId="23"/>
    <cellStyle name="•W_’·Šú‰p•¶" xfId="24"/>
    <cellStyle name="1" xfId="25"/>
    <cellStyle name="1_Cau thuy dien Ban La (Cu Anh)" xfId="26"/>
    <cellStyle name="1_Cau thuy dien Ban La (Cu Anh) 2" xfId="27"/>
    <cellStyle name="1_Du toan 558 (Km17+508.12 - Km 22)" xfId="28"/>
    <cellStyle name="1_Du toan 558 (Km17+508.12 - Km 22) 2" xfId="29"/>
    <cellStyle name="1_ÿÿÿÿÿ" xfId="30"/>
    <cellStyle name="2" xfId="31"/>
    <cellStyle name="2_Cau thuy dien Ban La (Cu Anh)" xfId="32"/>
    <cellStyle name="2_Cau thuy dien Ban La (Cu Anh) 2" xfId="33"/>
    <cellStyle name="2_Du toan 558 (Km17+508.12 - Km 22)" xfId="34"/>
    <cellStyle name="2_Du toan 558 (Km17+508.12 - Km 22) 2" xfId="35"/>
    <cellStyle name="2_ÿÿÿÿÿ" xfId="36"/>
    <cellStyle name="20% - Accent1" xfId="37"/>
    <cellStyle name="20% - Accent1 2" xfId="38"/>
    <cellStyle name="20% - Accent2" xfId="39"/>
    <cellStyle name="20% - Accent2 2" xfId="40"/>
    <cellStyle name="20% - Accent3" xfId="41"/>
    <cellStyle name="20% - Accent3 2" xfId="42"/>
    <cellStyle name="20% - Accent4" xfId="43"/>
    <cellStyle name="20% - Accent4 2" xfId="44"/>
    <cellStyle name="20% - Accent5" xfId="45"/>
    <cellStyle name="20% - Accent5 2" xfId="46"/>
    <cellStyle name="20% - Accent6" xfId="47"/>
    <cellStyle name="20% - Accent6 2" xfId="48"/>
    <cellStyle name="3" xfId="49"/>
    <cellStyle name="3_Cau thuy dien Ban La (Cu Anh)" xfId="50"/>
    <cellStyle name="3_Cau thuy dien Ban La (Cu Anh) 2" xfId="51"/>
    <cellStyle name="3_Du toan 558 (Km17+508.12 - Km 22)" xfId="52"/>
    <cellStyle name="3_Du toan 558 (Km17+508.12 - Km 22) 2" xfId="53"/>
    <cellStyle name="3_ÿÿÿÿÿ" xfId="54"/>
    <cellStyle name="4" xfId="55"/>
    <cellStyle name="4_Cau thuy dien Ban La (Cu Anh)" xfId="56"/>
    <cellStyle name="4_Cau thuy dien Ban La (Cu Anh) 2" xfId="57"/>
    <cellStyle name="4_Du toan 558 (Km17+508.12 - Km 22)" xfId="58"/>
    <cellStyle name="4_Du toan 558 (Km17+508.12 - Km 22) 2" xfId="59"/>
    <cellStyle name="4_ÿÿÿÿÿ" xfId="60"/>
    <cellStyle name="40% - Accent1" xfId="61"/>
    <cellStyle name="40% - Accent1 2" xfId="62"/>
    <cellStyle name="40% - Accent2" xfId="63"/>
    <cellStyle name="40% - Accent2 2" xfId="64"/>
    <cellStyle name="40% - Accent3" xfId="65"/>
    <cellStyle name="40% - Accent3 2" xfId="66"/>
    <cellStyle name="40% - Accent4" xfId="67"/>
    <cellStyle name="40% - Accent4 2" xfId="68"/>
    <cellStyle name="40% - Accent5" xfId="69"/>
    <cellStyle name="40% - Accent5 2" xfId="70"/>
    <cellStyle name="40% - Accent6" xfId="71"/>
    <cellStyle name="40% - Accent6 2" xfId="72"/>
    <cellStyle name="60% - Accent1" xfId="73"/>
    <cellStyle name="60% - Accent1 2" xfId="74"/>
    <cellStyle name="60% - Accent2" xfId="75"/>
    <cellStyle name="60% - Accent2 2" xfId="76"/>
    <cellStyle name="60% - Accent3" xfId="77"/>
    <cellStyle name="60% - Accent3 2" xfId="78"/>
    <cellStyle name="60% - Accent4" xfId="79"/>
    <cellStyle name="60% - Accent4 2" xfId="80"/>
    <cellStyle name="60% - Accent5" xfId="81"/>
    <cellStyle name="60% - Accent5 2" xfId="82"/>
    <cellStyle name="60% - Accent6" xfId="83"/>
    <cellStyle name="60% - Accent6 2" xfId="84"/>
    <cellStyle name="Accent1" xfId="85"/>
    <cellStyle name="Accent1 2" xfId="86"/>
    <cellStyle name="Accent2" xfId="87"/>
    <cellStyle name="Accent2 2" xfId="88"/>
    <cellStyle name="Accent3" xfId="89"/>
    <cellStyle name="Accent3 2" xfId="90"/>
    <cellStyle name="Accent4" xfId="91"/>
    <cellStyle name="Accent4 2" xfId="92"/>
    <cellStyle name="Accent5" xfId="93"/>
    <cellStyle name="Accent5 2" xfId="94"/>
    <cellStyle name="Accent6" xfId="95"/>
    <cellStyle name="Accent6 2" xfId="96"/>
    <cellStyle name="AeE­ [0]_INQUIRY ¿μ¾÷AßAø " xfId="97"/>
    <cellStyle name="ÅëÈ­ [0]_S" xfId="98"/>
    <cellStyle name="AeE­_INQUIRY ¿μ¾÷AßAø " xfId="99"/>
    <cellStyle name="ÅëÈ­_S" xfId="100"/>
    <cellStyle name="AÞ¸¶ [0]_INQUIRY ¿?¾÷AßAø " xfId="101"/>
    <cellStyle name="ÄÞ¸¶ [0]_S" xfId="102"/>
    <cellStyle name="AÞ¸¶_INQUIRY ¿?¾÷AßAø " xfId="103"/>
    <cellStyle name="ÄÞ¸¶_S" xfId="104"/>
    <cellStyle name="Bad" xfId="105"/>
    <cellStyle name="Bad 2" xfId="106"/>
    <cellStyle name="C?AØ_¿?¾÷CoE² " xfId="107"/>
    <cellStyle name="C￥AØ_¿μ¾÷CoE² " xfId="108"/>
    <cellStyle name="Ç¥ÁØ_S" xfId="109"/>
    <cellStyle name="C￥AØ_Sheet1_¿μ¾÷CoE² " xfId="110"/>
    <cellStyle name="Calc Currency (0)" xfId="111"/>
    <cellStyle name="Calc Currency (0)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omma [0] 2" xfId="119"/>
    <cellStyle name="Comma [0] 3" xfId="120"/>
    <cellStyle name="Comma [0] 4" xfId="121"/>
    <cellStyle name="Comma [0] 5" xfId="122"/>
    <cellStyle name="Comma [0] 6" xfId="123"/>
    <cellStyle name="Comma 10" xfId="124"/>
    <cellStyle name="Comma 11" xfId="125"/>
    <cellStyle name="Comma 12" xfId="126"/>
    <cellStyle name="Comma 2" xfId="127"/>
    <cellStyle name="Comma 2 2" xfId="128"/>
    <cellStyle name="Comma 2 3" xfId="129"/>
    <cellStyle name="Comma 3" xfId="130"/>
    <cellStyle name="Comma 3 2" xfId="131"/>
    <cellStyle name="Comma 4" xfId="132"/>
    <cellStyle name="Comma 4 2" xfId="133"/>
    <cellStyle name="Comma 5" xfId="134"/>
    <cellStyle name="Comma 5 2" xfId="135"/>
    <cellStyle name="Comma 6" xfId="136"/>
    <cellStyle name="Comma 6 2" xfId="137"/>
    <cellStyle name="Comma 7" xfId="138"/>
    <cellStyle name="Comma 8" xfId="139"/>
    <cellStyle name="Comma 9" xfId="140"/>
    <cellStyle name="Comma0" xfId="141"/>
    <cellStyle name="Currency" xfId="142"/>
    <cellStyle name="Currency [0]" xfId="143"/>
    <cellStyle name="Currency0" xfId="144"/>
    <cellStyle name="Date" xfId="145"/>
    <cellStyle name="Explanatory Text" xfId="146"/>
    <cellStyle name="Explanatory Text 2" xfId="147"/>
    <cellStyle name="Fixed" xfId="148"/>
    <cellStyle name="Good" xfId="149"/>
    <cellStyle name="Good 2" xfId="150"/>
    <cellStyle name="Grey" xfId="151"/>
    <cellStyle name="Header1" xfId="152"/>
    <cellStyle name="Header2" xfId="153"/>
    <cellStyle name="Heading 1" xfId="154"/>
    <cellStyle name="Heading 1 2" xfId="155"/>
    <cellStyle name="Heading 1 3" xfId="156"/>
    <cellStyle name="Heading 2" xfId="157"/>
    <cellStyle name="Heading 2 2" xfId="158"/>
    <cellStyle name="Heading 2 3" xfId="159"/>
    <cellStyle name="Heading 3" xfId="160"/>
    <cellStyle name="Heading 3 2" xfId="161"/>
    <cellStyle name="Heading 4" xfId="162"/>
    <cellStyle name="Heading 4 2" xfId="163"/>
    <cellStyle name="Hoa-Scholl" xfId="164"/>
    <cellStyle name="Input" xfId="165"/>
    <cellStyle name="Input [yellow]" xfId="166"/>
    <cellStyle name="Input 2" xfId="167"/>
    <cellStyle name="Linked Cell" xfId="168"/>
    <cellStyle name="Linked Cell 2" xfId="169"/>
    <cellStyle name="moi" xfId="170"/>
    <cellStyle name="moi 2" xfId="171"/>
    <cellStyle name="n" xfId="172"/>
    <cellStyle name="Neutral" xfId="173"/>
    <cellStyle name="Neutral 2" xfId="174"/>
    <cellStyle name="Normal - Style1" xfId="175"/>
    <cellStyle name="Normal - Style1 2" xfId="176"/>
    <cellStyle name="Normal 10" xfId="177"/>
    <cellStyle name="Normal 11" xfId="178"/>
    <cellStyle name="Normal 12" xfId="179"/>
    <cellStyle name="Normal 13" xfId="180"/>
    <cellStyle name="Normal 14" xfId="181"/>
    <cellStyle name="Normal 15" xfId="182"/>
    <cellStyle name="Normal 16" xfId="183"/>
    <cellStyle name="Normal 17" xfId="184"/>
    <cellStyle name="Normal 2" xfId="185"/>
    <cellStyle name="Normal 2 2" xfId="186"/>
    <cellStyle name="Normal 3" xfId="187"/>
    <cellStyle name="Normal 3 2" xfId="188"/>
    <cellStyle name="Normal 3 3" xfId="189"/>
    <cellStyle name="Normal 4" xfId="190"/>
    <cellStyle name="Normal 5" xfId="191"/>
    <cellStyle name="Normal 6" xfId="192"/>
    <cellStyle name="Normal 7" xfId="193"/>
    <cellStyle name="Normal 8" xfId="194"/>
    <cellStyle name="Normal 9" xfId="195"/>
    <cellStyle name="Normal_KH 2012" xfId="196"/>
    <cellStyle name="Normal_KSTK Nha Trang goi1" xfId="197"/>
    <cellStyle name="Normal_Phu Luc 2; BAo Cao THop" xfId="198"/>
    <cellStyle name="Normal_Sheet1" xfId="199"/>
    <cellStyle name="Normal1" xfId="200"/>
    <cellStyle name="Note" xfId="201"/>
    <cellStyle name="Note 2" xfId="202"/>
    <cellStyle name="Output" xfId="203"/>
    <cellStyle name="Output 2" xfId="204"/>
    <cellStyle name="Percent" xfId="205"/>
    <cellStyle name="Percent [2]" xfId="206"/>
    <cellStyle name="Percent [2] 2" xfId="207"/>
    <cellStyle name="Percent 2" xfId="208"/>
    <cellStyle name="Percent 3" xfId="209"/>
    <cellStyle name="Title" xfId="210"/>
    <cellStyle name="Title 2" xfId="211"/>
    <cellStyle name="Total" xfId="212"/>
    <cellStyle name="Total 2" xfId="213"/>
    <cellStyle name="Total 3" xfId="214"/>
    <cellStyle name="Warning Text" xfId="215"/>
    <cellStyle name="Warning Text 2" xfId="216"/>
    <cellStyle name="xuan" xfId="217"/>
    <cellStyle name=" [0.00]_ Att. 1- Cover" xfId="218"/>
    <cellStyle name="_ Att. 1- Cover" xfId="219"/>
    <cellStyle name="?_ Att. 1- Cover" xfId="220"/>
    <cellStyle name="똿뗦먛귟 [0.00]_PRODUCT DETAIL Q1" xfId="221"/>
    <cellStyle name="똿뗦먛귟_PRODUCT DETAIL Q1" xfId="222"/>
    <cellStyle name="믅됞 [0.00]_PRODUCT DETAIL Q1" xfId="223"/>
    <cellStyle name="믅됞_PRODUCT DETAIL Q1" xfId="224"/>
    <cellStyle name="백분율_95" xfId="225"/>
    <cellStyle name="뷭?_BOOKSHIP" xfId="226"/>
    <cellStyle name="콤마 [0]_1202" xfId="227"/>
    <cellStyle name="콤마_1202" xfId="228"/>
    <cellStyle name="통화 [0]_1202" xfId="229"/>
    <cellStyle name="통화_1202" xfId="230"/>
    <cellStyle name="표준_(정보부문)월별인원계획" xfId="231"/>
    <cellStyle name="一般_00Q3902REV.1" xfId="232"/>
    <cellStyle name="千分位[0]_00Q3902REV.1" xfId="233"/>
    <cellStyle name="千分位_00Q3902REV.1" xfId="234"/>
    <cellStyle name="貨幣 [0]_00Q3902REV.1" xfId="235"/>
    <cellStyle name="貨幣[0]_BRE" xfId="236"/>
    <cellStyle name="貨幣_00Q3902REV.1" xfId="2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2</xdr:row>
      <xdr:rowOff>19050</xdr:rowOff>
    </xdr:from>
    <xdr:to>
      <xdr:col>3</xdr:col>
      <xdr:colOff>133350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1600200" y="400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38100</xdr:rowOff>
    </xdr:from>
    <xdr:to>
      <xdr:col>5</xdr:col>
      <xdr:colOff>447675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2324100" y="4286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114300</xdr:colOff>
      <xdr:row>2</xdr:row>
      <xdr:rowOff>47625</xdr:rowOff>
    </xdr:from>
    <xdr:to>
      <xdr:col>13</xdr:col>
      <xdr:colOff>609600</xdr:colOff>
      <xdr:row>2</xdr:row>
      <xdr:rowOff>47625</xdr:rowOff>
    </xdr:to>
    <xdr:sp>
      <xdr:nvSpPr>
        <xdr:cNvPr id="2" name="Straight Connector 2"/>
        <xdr:cNvSpPr>
          <a:spLocks/>
        </xdr:cNvSpPr>
      </xdr:nvSpPr>
      <xdr:spPr>
        <a:xfrm>
          <a:off x="6648450" y="438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</xdr:row>
      <xdr:rowOff>19050</xdr:rowOff>
    </xdr:from>
    <xdr:to>
      <xdr:col>5</xdr:col>
      <xdr:colOff>142875</xdr:colOff>
      <xdr:row>2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2609850" y="409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180975</xdr:colOff>
      <xdr:row>2</xdr:row>
      <xdr:rowOff>47625</xdr:rowOff>
    </xdr:from>
    <xdr:to>
      <xdr:col>13</xdr:col>
      <xdr:colOff>581025</xdr:colOff>
      <xdr:row>2</xdr:row>
      <xdr:rowOff>47625</xdr:rowOff>
    </xdr:to>
    <xdr:sp>
      <xdr:nvSpPr>
        <xdr:cNvPr id="2" name="Straight Connector 4"/>
        <xdr:cNvSpPr>
          <a:spLocks/>
        </xdr:cNvSpPr>
      </xdr:nvSpPr>
      <xdr:spPr>
        <a:xfrm flipV="1">
          <a:off x="7400925" y="4381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19050</xdr:rowOff>
    </xdr:from>
    <xdr:to>
      <xdr:col>2</xdr:col>
      <xdr:colOff>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8288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47625</xdr:rowOff>
    </xdr:from>
    <xdr:to>
      <xdr:col>16</xdr:col>
      <xdr:colOff>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95440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19050</xdr:rowOff>
    </xdr:from>
    <xdr:to>
      <xdr:col>4</xdr:col>
      <xdr:colOff>238125</xdr:colOff>
      <xdr:row>2</xdr:row>
      <xdr:rowOff>19050</xdr:rowOff>
    </xdr:to>
    <xdr:sp>
      <xdr:nvSpPr>
        <xdr:cNvPr id="3" name="Line 3"/>
        <xdr:cNvSpPr>
          <a:spLocks/>
        </xdr:cNvSpPr>
      </xdr:nvSpPr>
      <xdr:spPr>
        <a:xfrm>
          <a:off x="2476500" y="4191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276225</xdr:colOff>
      <xdr:row>2</xdr:row>
      <xdr:rowOff>9525</xdr:rowOff>
    </xdr:from>
    <xdr:to>
      <xdr:col>15</xdr:col>
      <xdr:colOff>419100</xdr:colOff>
      <xdr:row>2</xdr:row>
      <xdr:rowOff>9525</xdr:rowOff>
    </xdr:to>
    <xdr:sp>
      <xdr:nvSpPr>
        <xdr:cNvPr id="4" name="Line 4"/>
        <xdr:cNvSpPr>
          <a:spLocks/>
        </xdr:cNvSpPr>
      </xdr:nvSpPr>
      <xdr:spPr>
        <a:xfrm>
          <a:off x="8105775" y="4095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28575</xdr:rowOff>
    </xdr:from>
    <xdr:to>
      <xdr:col>2</xdr:col>
      <xdr:colOff>400050</xdr:colOff>
      <xdr:row>1</xdr:row>
      <xdr:rowOff>28575</xdr:rowOff>
    </xdr:to>
    <xdr:sp>
      <xdr:nvSpPr>
        <xdr:cNvPr id="1" name="Line 3"/>
        <xdr:cNvSpPr>
          <a:spLocks/>
        </xdr:cNvSpPr>
      </xdr:nvSpPr>
      <xdr:spPr>
        <a:xfrm>
          <a:off x="609600" y="266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26</xdr:col>
      <xdr:colOff>95250</xdr:colOff>
      <xdr:row>2</xdr:row>
      <xdr:rowOff>19050</xdr:rowOff>
    </xdr:from>
    <xdr:to>
      <xdr:col>28</xdr:col>
      <xdr:colOff>180975</xdr:colOff>
      <xdr:row>2</xdr:row>
      <xdr:rowOff>19050</xdr:rowOff>
    </xdr:to>
    <xdr:sp>
      <xdr:nvSpPr>
        <xdr:cNvPr id="2" name="Line 3"/>
        <xdr:cNvSpPr>
          <a:spLocks/>
        </xdr:cNvSpPr>
      </xdr:nvSpPr>
      <xdr:spPr>
        <a:xfrm>
          <a:off x="6867525" y="4572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342900</xdr:colOff>
      <xdr:row>2</xdr:row>
      <xdr:rowOff>0</xdr:rowOff>
    </xdr:from>
    <xdr:to>
      <xdr:col>23</xdr:col>
      <xdr:colOff>247650</xdr:colOff>
      <xdr:row>2</xdr:row>
      <xdr:rowOff>0</xdr:rowOff>
    </xdr:to>
    <xdr:sp>
      <xdr:nvSpPr>
        <xdr:cNvPr id="1" name="Line 6"/>
        <xdr:cNvSpPr>
          <a:spLocks/>
        </xdr:cNvSpPr>
      </xdr:nvSpPr>
      <xdr:spPr>
        <a:xfrm>
          <a:off x="11144250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295275</xdr:colOff>
      <xdr:row>2</xdr:row>
      <xdr:rowOff>0</xdr:rowOff>
    </xdr:from>
    <xdr:to>
      <xdr:col>4</xdr:col>
      <xdr:colOff>276225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1857375" y="5524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419100</xdr:colOff>
      <xdr:row>2</xdr:row>
      <xdr:rowOff>38100</xdr:rowOff>
    </xdr:from>
    <xdr:to>
      <xdr:col>14</xdr:col>
      <xdr:colOff>361950</xdr:colOff>
      <xdr:row>2</xdr:row>
      <xdr:rowOff>38100</xdr:rowOff>
    </xdr:to>
    <xdr:sp>
      <xdr:nvSpPr>
        <xdr:cNvPr id="3" name="Line 8"/>
        <xdr:cNvSpPr>
          <a:spLocks/>
        </xdr:cNvSpPr>
      </xdr:nvSpPr>
      <xdr:spPr>
        <a:xfrm>
          <a:off x="8210550" y="5905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2</xdr:row>
      <xdr:rowOff>28575</xdr:rowOff>
    </xdr:from>
    <xdr:to>
      <xdr:col>20</xdr:col>
      <xdr:colOff>180975</xdr:colOff>
      <xdr:row>2</xdr:row>
      <xdr:rowOff>28575</xdr:rowOff>
    </xdr:to>
    <xdr:sp>
      <xdr:nvSpPr>
        <xdr:cNvPr id="1" name="Line 2"/>
        <xdr:cNvSpPr>
          <a:spLocks/>
        </xdr:cNvSpPr>
      </xdr:nvSpPr>
      <xdr:spPr>
        <a:xfrm>
          <a:off x="6219825" y="4286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942975</xdr:colOff>
      <xdr:row>2</xdr:row>
      <xdr:rowOff>28575</xdr:rowOff>
    </xdr:from>
    <xdr:to>
      <xdr:col>2</xdr:col>
      <xdr:colOff>561975</xdr:colOff>
      <xdr:row>2</xdr:row>
      <xdr:rowOff>28575</xdr:rowOff>
    </xdr:to>
    <xdr:sp>
      <xdr:nvSpPr>
        <xdr:cNvPr id="2" name="Straight Connector 4"/>
        <xdr:cNvSpPr>
          <a:spLocks/>
        </xdr:cNvSpPr>
      </xdr:nvSpPr>
      <xdr:spPr>
        <a:xfrm>
          <a:off x="1362075" y="428625"/>
          <a:ext cx="752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4</xdr:row>
      <xdr:rowOff>28575</xdr:rowOff>
    </xdr:from>
    <xdr:to>
      <xdr:col>3</xdr:col>
      <xdr:colOff>428625</xdr:colOff>
      <xdr:row>4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952500" y="2286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504825</xdr:colOff>
      <xdr:row>5</xdr:row>
      <xdr:rowOff>9525</xdr:rowOff>
    </xdr:from>
    <xdr:to>
      <xdr:col>12</xdr:col>
      <xdr:colOff>123825</xdr:colOff>
      <xdr:row>5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619875" y="4095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19050</xdr:rowOff>
    </xdr:from>
    <xdr:to>
      <xdr:col>2</xdr:col>
      <xdr:colOff>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4097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47625</xdr:rowOff>
    </xdr:from>
    <xdr:to>
      <xdr:col>15</xdr:col>
      <xdr:colOff>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460057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95250</xdr:colOff>
      <xdr:row>2</xdr:row>
      <xdr:rowOff>9525</xdr:rowOff>
    </xdr:from>
    <xdr:to>
      <xdr:col>16</xdr:col>
      <xdr:colOff>266700</xdr:colOff>
      <xdr:row>2</xdr:row>
      <xdr:rowOff>9525</xdr:rowOff>
    </xdr:to>
    <xdr:sp>
      <xdr:nvSpPr>
        <xdr:cNvPr id="3" name="Line 4"/>
        <xdr:cNvSpPr>
          <a:spLocks/>
        </xdr:cNvSpPr>
      </xdr:nvSpPr>
      <xdr:spPr>
        <a:xfrm>
          <a:off x="460057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123825</xdr:colOff>
      <xdr:row>2</xdr:row>
      <xdr:rowOff>28575</xdr:rowOff>
    </xdr:from>
    <xdr:to>
      <xdr:col>5</xdr:col>
      <xdr:colOff>38100</xdr:colOff>
      <xdr:row>2</xdr:row>
      <xdr:rowOff>28575</xdr:rowOff>
    </xdr:to>
    <xdr:sp>
      <xdr:nvSpPr>
        <xdr:cNvPr id="4" name="Straight Connector 4"/>
        <xdr:cNvSpPr>
          <a:spLocks/>
        </xdr:cNvSpPr>
      </xdr:nvSpPr>
      <xdr:spPr>
        <a:xfrm>
          <a:off x="1533525" y="428625"/>
          <a:ext cx="1428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95250</xdr:colOff>
      <xdr:row>2</xdr:row>
      <xdr:rowOff>28575</xdr:rowOff>
    </xdr:from>
    <xdr:to>
      <xdr:col>25</xdr:col>
      <xdr:colOff>314325</xdr:colOff>
      <xdr:row>2</xdr:row>
      <xdr:rowOff>28575</xdr:rowOff>
    </xdr:to>
    <xdr:sp>
      <xdr:nvSpPr>
        <xdr:cNvPr id="5" name="Straight Connector 5"/>
        <xdr:cNvSpPr>
          <a:spLocks/>
        </xdr:cNvSpPr>
      </xdr:nvSpPr>
      <xdr:spPr>
        <a:xfrm>
          <a:off x="6753225" y="428625"/>
          <a:ext cx="904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0</xdr:row>
      <xdr:rowOff>571500</xdr:rowOff>
    </xdr:from>
    <xdr:to>
      <xdr:col>4</xdr:col>
      <xdr:colOff>381000</xdr:colOff>
      <xdr:row>0</xdr:row>
      <xdr:rowOff>571500</xdr:rowOff>
    </xdr:to>
    <xdr:sp>
      <xdr:nvSpPr>
        <xdr:cNvPr id="1" name="Line 1"/>
        <xdr:cNvSpPr>
          <a:spLocks/>
        </xdr:cNvSpPr>
      </xdr:nvSpPr>
      <xdr:spPr>
        <a:xfrm>
          <a:off x="1409700" y="5715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581025</xdr:rowOff>
    </xdr:from>
    <xdr:to>
      <xdr:col>13</xdr:col>
      <xdr:colOff>419100</xdr:colOff>
      <xdr:row>0</xdr:row>
      <xdr:rowOff>581025</xdr:rowOff>
    </xdr:to>
    <xdr:sp>
      <xdr:nvSpPr>
        <xdr:cNvPr id="2" name="Line 2"/>
        <xdr:cNvSpPr>
          <a:spLocks/>
        </xdr:cNvSpPr>
      </xdr:nvSpPr>
      <xdr:spPr>
        <a:xfrm>
          <a:off x="6553200" y="5810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0</xdr:rowOff>
    </xdr:from>
    <xdr:to>
      <xdr:col>4</xdr:col>
      <xdr:colOff>533400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0" y="3905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390525</xdr:rowOff>
    </xdr:from>
    <xdr:to>
      <xdr:col>13</xdr:col>
      <xdr:colOff>419100</xdr:colOff>
      <xdr:row>0</xdr:row>
      <xdr:rowOff>390525</xdr:rowOff>
    </xdr:to>
    <xdr:sp>
      <xdr:nvSpPr>
        <xdr:cNvPr id="2" name="Line 2"/>
        <xdr:cNvSpPr>
          <a:spLocks/>
        </xdr:cNvSpPr>
      </xdr:nvSpPr>
      <xdr:spPr>
        <a:xfrm>
          <a:off x="451485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457200</xdr:colOff>
      <xdr:row>1</xdr:row>
      <xdr:rowOff>0</xdr:rowOff>
    </xdr:from>
    <xdr:to>
      <xdr:col>20</xdr:col>
      <xdr:colOff>152400</xdr:colOff>
      <xdr:row>1</xdr:row>
      <xdr:rowOff>0</xdr:rowOff>
    </xdr:to>
    <xdr:sp>
      <xdr:nvSpPr>
        <xdr:cNvPr id="3" name="Straight Connector 5"/>
        <xdr:cNvSpPr>
          <a:spLocks/>
        </xdr:cNvSpPr>
      </xdr:nvSpPr>
      <xdr:spPr>
        <a:xfrm>
          <a:off x="5734050" y="390525"/>
          <a:ext cx="1638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NGUYEN~1\AppData\Local\Temp\Khoi%20luong%20xi%20mang%20lam%20kenh%20B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KH-TC\1.Nguyenhieu\5.%20Linh%20tinh\Bang%20ke%20thanh%20toan%20chi%20ph&#237;%20giang%20vien%20tap%20hu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tính toán muc ho tro"/>
      <sheetName val="Dang ky kenh 2014"/>
    </sheetNames>
    <sheetDataSet>
      <sheetData sheetId="2">
        <row r="8">
          <cell r="G8">
            <v>9.495</v>
          </cell>
          <cell r="H8">
            <v>3.165</v>
          </cell>
        </row>
        <row r="9">
          <cell r="G9">
            <v>3.5820000000000003</v>
          </cell>
          <cell r="H9">
            <v>1.1940000000000002</v>
          </cell>
        </row>
        <row r="10">
          <cell r="G10">
            <v>15.326999999999998</v>
          </cell>
          <cell r="H10">
            <v>5.109</v>
          </cell>
        </row>
        <row r="11">
          <cell r="G11">
            <v>0.62685</v>
          </cell>
          <cell r="H11">
            <v>0.20895000000000002</v>
          </cell>
        </row>
        <row r="12">
          <cell r="G12">
            <v>7.859999999999999</v>
          </cell>
          <cell r="H12">
            <v>2.62</v>
          </cell>
        </row>
        <row r="13">
          <cell r="G13">
            <v>13.202999999999998</v>
          </cell>
          <cell r="H13">
            <v>4.401</v>
          </cell>
        </row>
        <row r="19">
          <cell r="G19">
            <v>8.881799999999998</v>
          </cell>
          <cell r="H19">
            <v>2.9606</v>
          </cell>
        </row>
        <row r="20">
          <cell r="G20">
            <v>26.96091</v>
          </cell>
          <cell r="H20">
            <v>8.98697</v>
          </cell>
        </row>
        <row r="28">
          <cell r="G28">
            <v>8.955</v>
          </cell>
          <cell r="H28">
            <v>2.9850000000000003</v>
          </cell>
        </row>
        <row r="29">
          <cell r="G29">
            <v>1.7910000000000001</v>
          </cell>
          <cell r="H29">
            <v>0.5970000000000001</v>
          </cell>
        </row>
        <row r="30">
          <cell r="G30">
            <v>2.6865</v>
          </cell>
          <cell r="H30">
            <v>0.8955000000000001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PageLayoutView="0" workbookViewId="0" topLeftCell="A4">
      <selection activeCell="A3" sqref="A3:V3"/>
    </sheetView>
  </sheetViews>
  <sheetFormatPr defaultColWidth="9.00390625" defaultRowHeight="15.75"/>
  <cols>
    <col min="1" max="1" width="3.50390625" style="492" customWidth="1"/>
    <col min="2" max="2" width="18.625" style="492" customWidth="1"/>
    <col min="3" max="3" width="8.00390625" style="502" customWidth="1"/>
    <col min="4" max="4" width="5.875" style="502" customWidth="1"/>
    <col min="5" max="5" width="7.125" style="492" customWidth="1"/>
    <col min="6" max="6" width="6.25390625" style="492" customWidth="1"/>
    <col min="7" max="7" width="7.50390625" style="492" customWidth="1"/>
    <col min="8" max="9" width="8.125" style="492" customWidth="1"/>
    <col min="10" max="10" width="7.125" style="492" customWidth="1"/>
    <col min="11" max="11" width="6.125" style="492" customWidth="1"/>
    <col min="12" max="13" width="7.375" style="492" customWidth="1"/>
    <col min="14" max="14" width="7.125" style="492" customWidth="1"/>
    <col min="15" max="15" width="6.875" style="492" customWidth="1"/>
    <col min="16" max="16" width="7.125" style="492" customWidth="1"/>
    <col min="17" max="17" width="7.875" style="492" customWidth="1"/>
    <col min="18" max="20" width="7.125" style="492" hidden="1" customWidth="1"/>
    <col min="21" max="21" width="8.25390625" style="492" hidden="1" customWidth="1"/>
    <col min="22" max="22" width="9.50390625" style="492" customWidth="1"/>
    <col min="23" max="26" width="0" style="492" hidden="1" customWidth="1"/>
    <col min="27" max="27" width="12.25390625" style="492" hidden="1" customWidth="1"/>
    <col min="28" max="16384" width="9.00390625" style="492" customWidth="1"/>
  </cols>
  <sheetData>
    <row r="1" spans="2:6" ht="15">
      <c r="B1" s="648" t="s">
        <v>464</v>
      </c>
      <c r="C1" s="648"/>
      <c r="D1" s="648"/>
      <c r="E1" s="648"/>
      <c r="F1" s="648"/>
    </row>
    <row r="2" spans="2:6" ht="15">
      <c r="B2" s="665" t="s">
        <v>451</v>
      </c>
      <c r="C2" s="665"/>
      <c r="D2" s="665"/>
      <c r="E2" s="665"/>
      <c r="F2" s="665"/>
    </row>
    <row r="3" spans="1:22" s="476" customFormat="1" ht="42" customHeight="1">
      <c r="A3" s="669" t="s">
        <v>466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</row>
    <row r="4" spans="1:22" s="477" customFormat="1" ht="31.5" customHeight="1">
      <c r="A4" s="666" t="s">
        <v>5</v>
      </c>
      <c r="B4" s="667" t="s">
        <v>413</v>
      </c>
      <c r="C4" s="666" t="s">
        <v>103</v>
      </c>
      <c r="D4" s="666"/>
      <c r="E4" s="666"/>
      <c r="F4" s="666"/>
      <c r="G4" s="666"/>
      <c r="H4" s="666"/>
      <c r="I4" s="666"/>
      <c r="J4" s="667" t="s">
        <v>465</v>
      </c>
      <c r="K4" s="667"/>
      <c r="L4" s="667"/>
      <c r="M4" s="667"/>
      <c r="N4" s="667"/>
      <c r="O4" s="667"/>
      <c r="P4" s="667"/>
      <c r="Q4" s="652" t="s">
        <v>454</v>
      </c>
      <c r="R4" s="659" t="s">
        <v>458</v>
      </c>
      <c r="S4" s="660"/>
      <c r="T4" s="661"/>
      <c r="U4" s="649" t="s">
        <v>459</v>
      </c>
      <c r="V4" s="649" t="s">
        <v>463</v>
      </c>
    </row>
    <row r="5" spans="1:22" s="477" customFormat="1" ht="15.75" customHeight="1">
      <c r="A5" s="666"/>
      <c r="B5" s="667"/>
      <c r="C5" s="649" t="s">
        <v>414</v>
      </c>
      <c r="D5" s="656" t="s">
        <v>10</v>
      </c>
      <c r="E5" s="657"/>
      <c r="F5" s="657"/>
      <c r="G5" s="657"/>
      <c r="H5" s="658"/>
      <c r="I5" s="652" t="s">
        <v>415</v>
      </c>
      <c r="J5" s="649" t="s">
        <v>455</v>
      </c>
      <c r="K5" s="663" t="s">
        <v>10</v>
      </c>
      <c r="L5" s="668"/>
      <c r="M5" s="668"/>
      <c r="N5" s="668"/>
      <c r="O5" s="664"/>
      <c r="P5" s="652" t="s">
        <v>456</v>
      </c>
      <c r="Q5" s="653"/>
      <c r="R5" s="649" t="s">
        <v>414</v>
      </c>
      <c r="S5" s="663" t="s">
        <v>10</v>
      </c>
      <c r="T5" s="664"/>
      <c r="U5" s="662"/>
      <c r="V5" s="650"/>
    </row>
    <row r="6" spans="1:22" s="480" customFormat="1" ht="81" customHeight="1">
      <c r="A6" s="666"/>
      <c r="B6" s="667"/>
      <c r="C6" s="655"/>
      <c r="D6" s="479" t="s">
        <v>12</v>
      </c>
      <c r="E6" s="479" t="s">
        <v>416</v>
      </c>
      <c r="F6" s="479" t="s">
        <v>417</v>
      </c>
      <c r="G6" s="479" t="s">
        <v>418</v>
      </c>
      <c r="H6" s="479" t="s">
        <v>272</v>
      </c>
      <c r="I6" s="654"/>
      <c r="J6" s="655"/>
      <c r="K6" s="478" t="s">
        <v>12</v>
      </c>
      <c r="L6" s="478" t="s">
        <v>269</v>
      </c>
      <c r="M6" s="478" t="s">
        <v>14</v>
      </c>
      <c r="N6" s="478" t="s">
        <v>452</v>
      </c>
      <c r="O6" s="478" t="s">
        <v>453</v>
      </c>
      <c r="P6" s="654"/>
      <c r="Q6" s="654"/>
      <c r="R6" s="655"/>
      <c r="S6" s="479" t="s">
        <v>460</v>
      </c>
      <c r="T6" s="479" t="s">
        <v>461</v>
      </c>
      <c r="U6" s="655"/>
      <c r="V6" s="651"/>
    </row>
    <row r="7" spans="1:27" s="476" customFormat="1" ht="21.75" customHeight="1">
      <c r="A7" s="481" t="s">
        <v>419</v>
      </c>
      <c r="B7" s="509" t="s">
        <v>420</v>
      </c>
      <c r="C7" s="482">
        <f aca="true" t="shared" si="0" ref="C7:O7">+SUM(C8:C17)</f>
        <v>784.587</v>
      </c>
      <c r="D7" s="482">
        <f t="shared" si="0"/>
        <v>10.612</v>
      </c>
      <c r="E7" s="482">
        <f t="shared" si="0"/>
        <v>184.47599999999997</v>
      </c>
      <c r="F7" s="482">
        <f t="shared" si="0"/>
        <v>382.64700000000005</v>
      </c>
      <c r="G7" s="482">
        <f t="shared" si="0"/>
        <v>198.52200000000002</v>
      </c>
      <c r="H7" s="482">
        <f t="shared" si="0"/>
        <v>8.33</v>
      </c>
      <c r="I7" s="483">
        <f t="shared" si="0"/>
        <v>100775.78864</v>
      </c>
      <c r="J7" s="511">
        <f t="shared" si="0"/>
        <v>332.08500000000004</v>
      </c>
      <c r="K7" s="511">
        <f t="shared" si="0"/>
        <v>5.147</v>
      </c>
      <c r="L7" s="511">
        <f t="shared" si="0"/>
        <v>56.04</v>
      </c>
      <c r="M7" s="511">
        <f t="shared" si="0"/>
        <v>207.97</v>
      </c>
      <c r="N7" s="511">
        <f t="shared" si="0"/>
        <v>61.31799999999999</v>
      </c>
      <c r="O7" s="511">
        <f t="shared" si="0"/>
        <v>1.61</v>
      </c>
      <c r="P7" s="515">
        <f>+SUM(P8:P17)</f>
        <v>44705.340000000004</v>
      </c>
      <c r="Q7" s="528"/>
      <c r="R7" s="549"/>
      <c r="S7" s="549"/>
      <c r="T7" s="549"/>
      <c r="U7" s="549"/>
      <c r="V7" s="513">
        <f>+J7-AA7</f>
        <v>27.04800000000006</v>
      </c>
      <c r="Z7" s="476">
        <v>255.757</v>
      </c>
      <c r="AA7" s="647">
        <v>305.037</v>
      </c>
    </row>
    <row r="8" spans="1:27" s="476" customFormat="1" ht="15.75" customHeight="1">
      <c r="A8" s="629">
        <v>1</v>
      </c>
      <c r="B8" s="484" t="s">
        <v>194</v>
      </c>
      <c r="C8" s="630">
        <v>96.393</v>
      </c>
      <c r="D8" s="631">
        <v>2.251</v>
      </c>
      <c r="E8" s="631">
        <v>25.193</v>
      </c>
      <c r="F8" s="631">
        <v>64.018</v>
      </c>
      <c r="G8" s="631">
        <v>4.931</v>
      </c>
      <c r="H8" s="631">
        <v>0</v>
      </c>
      <c r="I8" s="632">
        <v>12500.581170000001</v>
      </c>
      <c r="J8" s="550">
        <f>SUM(K8:O8)</f>
        <v>42.85</v>
      </c>
      <c r="K8" s="637">
        <v>1.64</v>
      </c>
      <c r="L8" s="512">
        <v>10.6</v>
      </c>
      <c r="M8" s="512">
        <v>30.5</v>
      </c>
      <c r="N8" s="512">
        <v>0.11</v>
      </c>
      <c r="O8" s="512">
        <v>0</v>
      </c>
      <c r="P8" s="516">
        <v>5499</v>
      </c>
      <c r="Q8" s="633">
        <f aca="true" t="shared" si="1" ref="Q8:Q17">+J8/C8</f>
        <v>0.44453435415434733</v>
      </c>
      <c r="R8" s="550">
        <f aca="true" t="shared" si="2" ref="R8:R17">SUM(S8:T8)</f>
        <v>1.5</v>
      </c>
      <c r="S8" s="550"/>
      <c r="T8" s="550">
        <v>1.5</v>
      </c>
      <c r="U8" s="550">
        <f aca="true" t="shared" si="3" ref="U8:U17">+R8+J8</f>
        <v>44.35</v>
      </c>
      <c r="V8" s="512">
        <f>+J8-AA8</f>
        <v>7.280000000000001</v>
      </c>
      <c r="W8" s="634">
        <f>+K8*194.67+L8*173.04+(M8+N8)*111.72+O8*127.68</f>
        <v>5573.232</v>
      </c>
      <c r="Y8" s="628">
        <v>15.030000000000001</v>
      </c>
      <c r="Z8" s="616">
        <v>20.6</v>
      </c>
      <c r="AA8" s="647">
        <v>35.57</v>
      </c>
    </row>
    <row r="9" spans="1:27" s="476" customFormat="1" ht="15.75" customHeight="1">
      <c r="A9" s="629">
        <v>2</v>
      </c>
      <c r="B9" s="484" t="s">
        <v>421</v>
      </c>
      <c r="C9" s="630">
        <v>164.9</v>
      </c>
      <c r="D9" s="631">
        <v>5</v>
      </c>
      <c r="E9" s="631">
        <v>30.299999999999997</v>
      </c>
      <c r="F9" s="631">
        <v>75</v>
      </c>
      <c r="G9" s="631">
        <v>51.6</v>
      </c>
      <c r="H9" s="631">
        <v>3</v>
      </c>
      <c r="I9" s="632">
        <v>20743.254</v>
      </c>
      <c r="J9" s="512">
        <f>SUM(K9:O9)</f>
        <v>45.6</v>
      </c>
      <c r="K9" s="512">
        <v>0.8</v>
      </c>
      <c r="L9" s="512">
        <v>5.3</v>
      </c>
      <c r="M9" s="512">
        <v>24.8</v>
      </c>
      <c r="N9" s="512">
        <v>14.5</v>
      </c>
      <c r="O9" s="512">
        <v>0.2</v>
      </c>
      <c r="P9" s="516">
        <v>6862</v>
      </c>
      <c r="Q9" s="633">
        <f t="shared" si="1"/>
        <v>0.2765312310491207</v>
      </c>
      <c r="R9" s="550">
        <f t="shared" si="2"/>
        <v>0</v>
      </c>
      <c r="S9" s="550"/>
      <c r="T9" s="550"/>
      <c r="U9" s="550">
        <f t="shared" si="3"/>
        <v>45.6</v>
      </c>
      <c r="V9" s="512">
        <f aca="true" t="shared" si="4" ref="V9:V19">+J9-AA9</f>
        <v>6.719999999999999</v>
      </c>
      <c r="W9" s="634">
        <f aca="true" t="shared" si="5" ref="W9:W20">+K9*194.67+L9*173.04+(M9+N9)*111.72+O9*127.68</f>
        <v>5488.98</v>
      </c>
      <c r="Y9" s="628">
        <v>22.86</v>
      </c>
      <c r="Z9" s="616">
        <v>31.7</v>
      </c>
      <c r="AA9" s="647">
        <v>38.88</v>
      </c>
    </row>
    <row r="10" spans="1:27" s="476" customFormat="1" ht="15.75" customHeight="1">
      <c r="A10" s="629">
        <v>3</v>
      </c>
      <c r="B10" s="484" t="s">
        <v>422</v>
      </c>
      <c r="C10" s="630">
        <f>+SUM(D10:H10)</f>
        <v>31.050000000000004</v>
      </c>
      <c r="D10" s="631"/>
      <c r="E10" s="631">
        <v>13.79</v>
      </c>
      <c r="F10" s="631">
        <v>2.67</v>
      </c>
      <c r="G10" s="631">
        <f>13.99</f>
        <v>13.99</v>
      </c>
      <c r="H10" s="631">
        <v>0.6</v>
      </c>
      <c r="I10" s="632">
        <f>+D10*194.67+E10*173.04+(F10+G10+H10)*111.72</f>
        <v>4314.5088</v>
      </c>
      <c r="J10" s="512">
        <f>SUM(K10:O10)</f>
        <v>17.355</v>
      </c>
      <c r="K10" s="512">
        <v>0.917</v>
      </c>
      <c r="L10" s="512">
        <v>5.8</v>
      </c>
      <c r="M10" s="512">
        <v>0.53</v>
      </c>
      <c r="N10" s="512">
        <v>10.108</v>
      </c>
      <c r="O10" s="512">
        <f>+TPHT!O12</f>
        <v>0</v>
      </c>
      <c r="P10" s="516">
        <v>2071</v>
      </c>
      <c r="Q10" s="633">
        <f t="shared" si="1"/>
        <v>0.5589371980676328</v>
      </c>
      <c r="R10" s="550">
        <f t="shared" si="2"/>
        <v>2</v>
      </c>
      <c r="S10" s="550"/>
      <c r="T10" s="550">
        <v>2</v>
      </c>
      <c r="U10" s="550">
        <f t="shared" si="3"/>
        <v>19.355</v>
      </c>
      <c r="V10" s="512">
        <f t="shared" si="4"/>
        <v>1.3279999999999994</v>
      </c>
      <c r="W10" s="634">
        <f t="shared" si="5"/>
        <v>2370.6217500000002</v>
      </c>
      <c r="X10" s="476">
        <f>+P10/111.72</f>
        <v>18.537414965986393</v>
      </c>
      <c r="Y10" s="628">
        <v>14.797</v>
      </c>
      <c r="Z10" s="616">
        <v>15.027000000000001</v>
      </c>
      <c r="AA10" s="647">
        <v>16.027</v>
      </c>
    </row>
    <row r="11" spans="1:27" s="476" customFormat="1" ht="15.75" customHeight="1">
      <c r="A11" s="629">
        <v>4</v>
      </c>
      <c r="B11" s="484" t="s">
        <v>423</v>
      </c>
      <c r="C11" s="630">
        <v>80</v>
      </c>
      <c r="D11" s="631"/>
      <c r="E11" s="631">
        <v>19.299999999999997</v>
      </c>
      <c r="F11" s="631">
        <v>45.19999999999999</v>
      </c>
      <c r="G11" s="631">
        <v>15.499999999999998</v>
      </c>
      <c r="H11" s="631"/>
      <c r="I11" s="632">
        <v>10137.3</v>
      </c>
      <c r="J11" s="512">
        <f aca="true" t="shared" si="6" ref="J11:J20">SUM(K11:O11)</f>
        <v>53.02</v>
      </c>
      <c r="K11" s="512">
        <v>0</v>
      </c>
      <c r="L11" s="512">
        <v>5.31</v>
      </c>
      <c r="M11" s="512">
        <v>42.58</v>
      </c>
      <c r="N11" s="512">
        <v>5.13</v>
      </c>
      <c r="O11" s="512">
        <v>0</v>
      </c>
      <c r="P11" s="516">
        <v>6621.2</v>
      </c>
      <c r="Q11" s="633">
        <f t="shared" si="1"/>
        <v>0.6627500000000001</v>
      </c>
      <c r="R11" s="550">
        <f t="shared" si="2"/>
        <v>14.67</v>
      </c>
      <c r="S11" s="550"/>
      <c r="T11" s="550">
        <v>14.67</v>
      </c>
      <c r="U11" s="550">
        <f t="shared" si="3"/>
        <v>67.69</v>
      </c>
      <c r="V11" s="512">
        <f t="shared" si="4"/>
        <v>3.450000000000003</v>
      </c>
      <c r="W11" s="634">
        <f t="shared" si="5"/>
        <v>6249.0036</v>
      </c>
      <c r="Y11" s="628">
        <v>34.414</v>
      </c>
      <c r="Z11" s="616">
        <v>41.24</v>
      </c>
      <c r="AA11" s="647">
        <v>49.57</v>
      </c>
    </row>
    <row r="12" spans="1:27" s="476" customFormat="1" ht="15.75" customHeight="1">
      <c r="A12" s="629">
        <v>5</v>
      </c>
      <c r="B12" s="484" t="s">
        <v>424</v>
      </c>
      <c r="C12" s="630">
        <v>93.63000000000001</v>
      </c>
      <c r="D12" s="631"/>
      <c r="E12" s="631">
        <v>15.700000000000001</v>
      </c>
      <c r="F12" s="631">
        <v>40.830000000000005</v>
      </c>
      <c r="G12" s="631">
        <v>37.1</v>
      </c>
      <c r="H12" s="631"/>
      <c r="I12" s="632">
        <v>12046.0116</v>
      </c>
      <c r="J12" s="512">
        <f t="shared" si="6"/>
        <v>35.39</v>
      </c>
      <c r="K12" s="512">
        <v>0.45</v>
      </c>
      <c r="L12" s="512">
        <v>5.03</v>
      </c>
      <c r="M12" s="512">
        <v>20.8</v>
      </c>
      <c r="N12" s="512">
        <v>8.3</v>
      </c>
      <c r="O12" s="512">
        <v>0.81</v>
      </c>
      <c r="P12" s="516">
        <v>4596</v>
      </c>
      <c r="Q12" s="633">
        <f t="shared" si="1"/>
        <v>0.37797714407775285</v>
      </c>
      <c r="R12" s="550">
        <f t="shared" si="2"/>
        <v>6.1</v>
      </c>
      <c r="S12" s="550"/>
      <c r="T12" s="550">
        <v>6.1</v>
      </c>
      <c r="U12" s="550">
        <f t="shared" si="3"/>
        <v>41.49</v>
      </c>
      <c r="V12" s="512">
        <f t="shared" si="4"/>
        <v>2.559999999999995</v>
      </c>
      <c r="W12" s="634">
        <f t="shared" si="5"/>
        <v>4312.4655</v>
      </c>
      <c r="Y12" s="628">
        <v>24.849999999999998</v>
      </c>
      <c r="Z12" s="616">
        <v>28.819999999999997</v>
      </c>
      <c r="AA12" s="647">
        <v>32.830000000000005</v>
      </c>
    </row>
    <row r="13" spans="1:27" s="476" customFormat="1" ht="15.75" customHeight="1">
      <c r="A13" s="629">
        <v>6</v>
      </c>
      <c r="B13" s="484" t="s">
        <v>425</v>
      </c>
      <c r="C13" s="630">
        <f>+SUM(D13:H13)</f>
        <v>1.5</v>
      </c>
      <c r="D13" s="631">
        <v>0</v>
      </c>
      <c r="E13" s="631">
        <v>0</v>
      </c>
      <c r="F13" s="631">
        <v>0.3</v>
      </c>
      <c r="G13" s="631">
        <v>0</v>
      </c>
      <c r="H13" s="631">
        <v>1.2</v>
      </c>
      <c r="I13" s="632">
        <f>+D13*194.67+E13*173.04+(F13+G13+H13)*111.72</f>
        <v>167.57999999999998</v>
      </c>
      <c r="J13" s="512">
        <f t="shared" si="6"/>
        <v>0</v>
      </c>
      <c r="K13" s="512">
        <v>0</v>
      </c>
      <c r="L13" s="512">
        <v>0</v>
      </c>
      <c r="M13" s="512">
        <v>0</v>
      </c>
      <c r="N13" s="512">
        <v>0</v>
      </c>
      <c r="O13" s="512">
        <v>0</v>
      </c>
      <c r="P13" s="516">
        <v>0</v>
      </c>
      <c r="Q13" s="638">
        <f t="shared" si="1"/>
        <v>0</v>
      </c>
      <c r="R13" s="550">
        <f t="shared" si="2"/>
        <v>0</v>
      </c>
      <c r="S13" s="550"/>
      <c r="T13" s="550"/>
      <c r="U13" s="550">
        <f t="shared" si="3"/>
        <v>0</v>
      </c>
      <c r="V13" s="512">
        <f t="shared" si="4"/>
        <v>0</v>
      </c>
      <c r="W13" s="634">
        <f t="shared" si="5"/>
        <v>0</v>
      </c>
      <c r="Y13" s="628">
        <v>0</v>
      </c>
      <c r="Z13" s="616">
        <v>0</v>
      </c>
      <c r="AA13" s="647">
        <v>0</v>
      </c>
    </row>
    <row r="14" spans="1:27" s="476" customFormat="1" ht="15.75" customHeight="1">
      <c r="A14" s="629">
        <v>7</v>
      </c>
      <c r="B14" s="484" t="s">
        <v>426</v>
      </c>
      <c r="C14" s="630">
        <v>115.859</v>
      </c>
      <c r="D14" s="631">
        <v>0</v>
      </c>
      <c r="E14" s="631">
        <v>40.617</v>
      </c>
      <c r="F14" s="631">
        <v>49.38200000000001</v>
      </c>
      <c r="G14" s="631">
        <v>23.6</v>
      </c>
      <c r="H14" s="631">
        <v>2.26</v>
      </c>
      <c r="I14" s="632">
        <v>15470</v>
      </c>
      <c r="J14" s="550">
        <f t="shared" si="6"/>
        <v>41.05</v>
      </c>
      <c r="K14" s="639">
        <f>+NX!X24</f>
        <v>0</v>
      </c>
      <c r="L14" s="550">
        <v>8.06</v>
      </c>
      <c r="M14" s="550">
        <v>24.83</v>
      </c>
      <c r="N14" s="550">
        <v>7.9</v>
      </c>
      <c r="O14" s="550">
        <v>0.26</v>
      </c>
      <c r="P14" s="516">
        <v>5493.69</v>
      </c>
      <c r="Q14" s="633">
        <f t="shared" si="1"/>
        <v>0.3543099802345955</v>
      </c>
      <c r="R14" s="550">
        <f t="shared" si="2"/>
        <v>0</v>
      </c>
      <c r="S14" s="550"/>
      <c r="T14" s="550"/>
      <c r="U14" s="550">
        <f t="shared" si="3"/>
        <v>41.05</v>
      </c>
      <c r="V14" s="512">
        <f t="shared" si="4"/>
        <v>1.1599999999999966</v>
      </c>
      <c r="W14" s="634">
        <f t="shared" si="5"/>
        <v>5084.4947999999995</v>
      </c>
      <c r="Y14" s="628">
        <v>25.36</v>
      </c>
      <c r="Z14" s="616">
        <v>35.85</v>
      </c>
      <c r="AA14" s="647">
        <v>39.89</v>
      </c>
    </row>
    <row r="15" spans="1:27" s="476" customFormat="1" ht="15.75" customHeight="1">
      <c r="A15" s="629">
        <v>8</v>
      </c>
      <c r="B15" s="484" t="s">
        <v>427</v>
      </c>
      <c r="C15" s="630">
        <v>30</v>
      </c>
      <c r="D15" s="631"/>
      <c r="E15" s="631">
        <v>6</v>
      </c>
      <c r="F15" s="631">
        <v>9</v>
      </c>
      <c r="G15" s="631">
        <v>15</v>
      </c>
      <c r="H15" s="631"/>
      <c r="I15" s="632">
        <v>3905.9999999999995</v>
      </c>
      <c r="J15" s="512">
        <f t="shared" si="6"/>
        <v>15.41</v>
      </c>
      <c r="K15" s="512">
        <v>0</v>
      </c>
      <c r="L15" s="512">
        <v>2.35</v>
      </c>
      <c r="M15" s="512">
        <v>7.66</v>
      </c>
      <c r="N15" s="512">
        <v>5.4</v>
      </c>
      <c r="O15" s="512">
        <v>0</v>
      </c>
      <c r="P15" s="516">
        <v>1733.55</v>
      </c>
      <c r="Q15" s="633">
        <f t="shared" si="1"/>
        <v>0.5136666666666667</v>
      </c>
      <c r="R15" s="550">
        <f t="shared" si="2"/>
        <v>10.3</v>
      </c>
      <c r="S15" s="550">
        <v>0.5</v>
      </c>
      <c r="T15" s="550">
        <v>9.8</v>
      </c>
      <c r="U15" s="550">
        <f t="shared" si="3"/>
        <v>25.71</v>
      </c>
      <c r="V15" s="512">
        <f t="shared" si="4"/>
        <v>0.9000000000000004</v>
      </c>
      <c r="W15" s="634">
        <f t="shared" si="5"/>
        <v>1865.7072</v>
      </c>
      <c r="Y15" s="628">
        <v>9.96</v>
      </c>
      <c r="Z15" s="616">
        <v>12.709999999999999</v>
      </c>
      <c r="AA15" s="647">
        <v>14.51</v>
      </c>
    </row>
    <row r="16" spans="1:27" s="476" customFormat="1" ht="15.75" customHeight="1">
      <c r="A16" s="629">
        <v>9</v>
      </c>
      <c r="B16" s="484" t="s">
        <v>428</v>
      </c>
      <c r="C16" s="630">
        <v>101.59500000000001</v>
      </c>
      <c r="D16" s="631">
        <v>3.09</v>
      </c>
      <c r="E16" s="631">
        <v>18.143</v>
      </c>
      <c r="F16" s="631">
        <v>64.24400000000001</v>
      </c>
      <c r="G16" s="631">
        <v>14.848</v>
      </c>
      <c r="H16" s="631">
        <v>1.27</v>
      </c>
      <c r="I16" s="632">
        <v>12739.306860000002</v>
      </c>
      <c r="J16" s="512">
        <f>SUM(K16:O16)</f>
        <v>48.07</v>
      </c>
      <c r="K16" s="512">
        <v>0.64</v>
      </c>
      <c r="L16" s="512">
        <v>3.76</v>
      </c>
      <c r="M16" s="512">
        <v>40.43</v>
      </c>
      <c r="N16" s="512">
        <v>2.9</v>
      </c>
      <c r="O16" s="512">
        <v>0.34</v>
      </c>
      <c r="P16" s="516">
        <v>6381</v>
      </c>
      <c r="Q16" s="633">
        <f t="shared" si="1"/>
        <v>0.4731532063585806</v>
      </c>
      <c r="R16" s="550">
        <f t="shared" si="2"/>
        <v>5.1000000000000005</v>
      </c>
      <c r="S16" s="550">
        <v>0.7</v>
      </c>
      <c r="T16" s="550">
        <v>4.4</v>
      </c>
      <c r="U16" s="550">
        <f t="shared" si="3"/>
        <v>53.17</v>
      </c>
      <c r="V16" s="512">
        <f t="shared" si="4"/>
        <v>3.4299999999999997</v>
      </c>
      <c r="W16" s="634">
        <f t="shared" si="5"/>
        <v>5659.457999999999</v>
      </c>
      <c r="Y16" s="628">
        <v>36.46</v>
      </c>
      <c r="Z16" s="616">
        <v>42.21</v>
      </c>
      <c r="AA16" s="647">
        <v>44.64</v>
      </c>
    </row>
    <row r="17" spans="1:27" s="476" customFormat="1" ht="15.75" customHeight="1">
      <c r="A17" s="629">
        <v>10</v>
      </c>
      <c r="B17" s="484" t="s">
        <v>429</v>
      </c>
      <c r="C17" s="630">
        <v>69.66</v>
      </c>
      <c r="D17" s="631">
        <v>0.271</v>
      </c>
      <c r="E17" s="631">
        <v>15.433000000000002</v>
      </c>
      <c r="F17" s="631">
        <v>32.003</v>
      </c>
      <c r="G17" s="631">
        <v>21.953</v>
      </c>
      <c r="H17" s="631"/>
      <c r="I17" s="632">
        <v>8751.246210000001</v>
      </c>
      <c r="J17" s="512">
        <f>SUM(K17:O17)</f>
        <v>33.339999999999996</v>
      </c>
      <c r="K17" s="512">
        <v>0.7</v>
      </c>
      <c r="L17" s="512">
        <v>9.83</v>
      </c>
      <c r="M17" s="512">
        <v>15.84</v>
      </c>
      <c r="N17" s="512">
        <v>6.97</v>
      </c>
      <c r="O17" s="512"/>
      <c r="P17" s="516">
        <v>5447.9</v>
      </c>
      <c r="Q17" s="633">
        <f t="shared" si="1"/>
        <v>0.47861039333907546</v>
      </c>
      <c r="R17" s="550">
        <f t="shared" si="2"/>
        <v>0</v>
      </c>
      <c r="S17" s="550"/>
      <c r="T17" s="550"/>
      <c r="U17" s="550">
        <f t="shared" si="3"/>
        <v>33.339999999999996</v>
      </c>
      <c r="V17" s="512">
        <f t="shared" si="4"/>
        <v>0.21999999999999176</v>
      </c>
      <c r="W17" s="634">
        <f t="shared" si="5"/>
        <v>4385.5854</v>
      </c>
      <c r="Y17" s="628">
        <v>24.945</v>
      </c>
      <c r="Z17" s="616">
        <v>27.6</v>
      </c>
      <c r="AA17" s="647">
        <v>33.120000000000005</v>
      </c>
    </row>
    <row r="18" spans="1:27" s="476" customFormat="1" ht="20.25" customHeight="1">
      <c r="A18" s="485" t="s">
        <v>430</v>
      </c>
      <c r="B18" s="510" t="s">
        <v>431</v>
      </c>
      <c r="C18" s="486">
        <f aca="true" t="shared" si="7" ref="C18:P18">+SUM(C19:C20)</f>
        <v>163.46699999999998</v>
      </c>
      <c r="D18" s="486">
        <f t="shared" si="7"/>
        <v>1</v>
      </c>
      <c r="E18" s="486">
        <f t="shared" si="7"/>
        <v>33.177</v>
      </c>
      <c r="F18" s="486">
        <f t="shared" si="7"/>
        <v>103.704</v>
      </c>
      <c r="G18" s="486">
        <f t="shared" si="7"/>
        <v>22.185999999999996</v>
      </c>
      <c r="H18" s="486">
        <f t="shared" si="7"/>
        <v>3.4</v>
      </c>
      <c r="I18" s="487">
        <f t="shared" si="7"/>
        <v>20434.1636</v>
      </c>
      <c r="J18" s="513">
        <f>+J19+J20</f>
        <v>123.62</v>
      </c>
      <c r="K18" s="513">
        <f t="shared" si="7"/>
        <v>0</v>
      </c>
      <c r="L18" s="513">
        <f t="shared" si="7"/>
        <v>30.470000000000002</v>
      </c>
      <c r="M18" s="513">
        <f t="shared" si="7"/>
        <v>76.11</v>
      </c>
      <c r="N18" s="513">
        <f t="shared" si="7"/>
        <v>16.54</v>
      </c>
      <c r="O18" s="513">
        <f t="shared" si="7"/>
        <v>0.5</v>
      </c>
      <c r="P18" s="517">
        <f t="shared" si="7"/>
        <v>19691</v>
      </c>
      <c r="Q18" s="484"/>
      <c r="R18" s="551"/>
      <c r="S18" s="551"/>
      <c r="T18" s="551"/>
      <c r="U18" s="550"/>
      <c r="V18" s="513">
        <f t="shared" si="4"/>
        <v>6.040000000000006</v>
      </c>
      <c r="Y18" s="628">
        <v>94.50999999999999</v>
      </c>
      <c r="Z18" s="616">
        <v>109.9</v>
      </c>
      <c r="AA18" s="647">
        <v>117.58</v>
      </c>
    </row>
    <row r="19" spans="1:27" s="476" customFormat="1" ht="15.75" customHeight="1">
      <c r="A19" s="629">
        <v>11</v>
      </c>
      <c r="B19" s="484" t="s">
        <v>432</v>
      </c>
      <c r="C19" s="630">
        <v>115.46699999999998</v>
      </c>
      <c r="D19" s="631">
        <v>1</v>
      </c>
      <c r="E19" s="631">
        <v>19.573</v>
      </c>
      <c r="F19" s="631">
        <v>83.484</v>
      </c>
      <c r="G19" s="631">
        <v>9.009999999999998</v>
      </c>
      <c r="H19" s="631">
        <v>2.4</v>
      </c>
      <c r="I19" s="632">
        <v>14221.443600000002</v>
      </c>
      <c r="J19" s="512">
        <f t="shared" si="6"/>
        <v>86.98</v>
      </c>
      <c r="K19" s="512">
        <v>0</v>
      </c>
      <c r="L19" s="512">
        <v>19.17</v>
      </c>
      <c r="M19" s="512">
        <v>60.97</v>
      </c>
      <c r="N19" s="512">
        <v>6.84</v>
      </c>
      <c r="O19" s="512">
        <v>0</v>
      </c>
      <c r="P19" s="516">
        <v>14221</v>
      </c>
      <c r="Q19" s="633">
        <f>+J19/C19</f>
        <v>0.7532888184502933</v>
      </c>
      <c r="R19" s="550">
        <f>SUM(S19:T19)</f>
        <v>0.25</v>
      </c>
      <c r="S19" s="550">
        <v>0.25</v>
      </c>
      <c r="T19" s="550"/>
      <c r="U19" s="550">
        <f>+R19+J19</f>
        <v>87.23</v>
      </c>
      <c r="V19" s="512">
        <f t="shared" si="4"/>
        <v>4.090000000000003</v>
      </c>
      <c r="W19" s="634">
        <f t="shared" si="5"/>
        <v>10892.91</v>
      </c>
      <c r="Y19" s="628">
        <v>67.42</v>
      </c>
      <c r="Z19" s="616">
        <v>78.09</v>
      </c>
      <c r="AA19" s="647">
        <v>82.89</v>
      </c>
    </row>
    <row r="20" spans="1:27" s="476" customFormat="1" ht="15.75" customHeight="1">
      <c r="A20" s="640">
        <v>12</v>
      </c>
      <c r="B20" s="641" t="s">
        <v>433</v>
      </c>
      <c r="C20" s="642">
        <v>48</v>
      </c>
      <c r="D20" s="643"/>
      <c r="E20" s="643">
        <v>13.604000000000001</v>
      </c>
      <c r="F20" s="643">
        <v>20.22</v>
      </c>
      <c r="G20" s="643">
        <v>13.175999999999998</v>
      </c>
      <c r="H20" s="643">
        <v>1</v>
      </c>
      <c r="I20" s="644">
        <v>6212.719999999999</v>
      </c>
      <c r="J20" s="512">
        <f t="shared" si="6"/>
        <v>36.64</v>
      </c>
      <c r="K20" s="512"/>
      <c r="L20" s="512">
        <v>11.3</v>
      </c>
      <c r="M20" s="512">
        <v>15.14</v>
      </c>
      <c r="N20" s="512">
        <v>9.7</v>
      </c>
      <c r="O20" s="512">
        <v>0.5</v>
      </c>
      <c r="P20" s="516">
        <v>5470</v>
      </c>
      <c r="Q20" s="645">
        <f>+J20/C20</f>
        <v>0.7633333333333333</v>
      </c>
      <c r="R20" s="550">
        <f>SUM(S20:T20)</f>
        <v>0</v>
      </c>
      <c r="S20" s="550"/>
      <c r="T20" s="550"/>
      <c r="U20" s="550">
        <f>+R20+J20</f>
        <v>36.64</v>
      </c>
      <c r="V20" s="512">
        <f>+J20-AA20</f>
        <v>1.9500000000000028</v>
      </c>
      <c r="W20" s="646">
        <f t="shared" si="5"/>
        <v>4794.3168000000005</v>
      </c>
      <c r="Y20" s="628">
        <v>27.089999999999996</v>
      </c>
      <c r="Z20" s="616">
        <v>31.809999999999995</v>
      </c>
      <c r="AA20" s="647">
        <v>34.69</v>
      </c>
    </row>
    <row r="21" spans="1:27" s="476" customFormat="1" ht="27" customHeight="1">
      <c r="A21" s="488"/>
      <c r="B21" s="489" t="s">
        <v>38</v>
      </c>
      <c r="C21" s="490">
        <f aca="true" t="shared" si="8" ref="C21:P21">C18+C7</f>
        <v>948.054</v>
      </c>
      <c r="D21" s="490">
        <f t="shared" si="8"/>
        <v>11.612</v>
      </c>
      <c r="E21" s="490">
        <f t="shared" si="8"/>
        <v>217.65299999999996</v>
      </c>
      <c r="F21" s="490">
        <f t="shared" si="8"/>
        <v>486.35100000000006</v>
      </c>
      <c r="G21" s="490">
        <f t="shared" si="8"/>
        <v>220.70800000000003</v>
      </c>
      <c r="H21" s="490">
        <f t="shared" si="8"/>
        <v>11.73</v>
      </c>
      <c r="I21" s="491">
        <f t="shared" si="8"/>
        <v>121209.95224</v>
      </c>
      <c r="J21" s="514">
        <f t="shared" si="8"/>
        <v>455.70500000000004</v>
      </c>
      <c r="K21" s="514">
        <f t="shared" si="8"/>
        <v>5.147</v>
      </c>
      <c r="L21" s="514">
        <f t="shared" si="8"/>
        <v>86.51</v>
      </c>
      <c r="M21" s="514">
        <f t="shared" si="8"/>
        <v>284.08</v>
      </c>
      <c r="N21" s="514">
        <f t="shared" si="8"/>
        <v>77.85799999999999</v>
      </c>
      <c r="O21" s="514">
        <f t="shared" si="8"/>
        <v>2.1100000000000003</v>
      </c>
      <c r="P21" s="518">
        <f t="shared" si="8"/>
        <v>64396.340000000004</v>
      </c>
      <c r="Q21" s="529">
        <f>+J21/C21</f>
        <v>0.48067409662318816</v>
      </c>
      <c r="R21" s="552">
        <f>+SUM(R8:R20)</f>
        <v>39.92000000000001</v>
      </c>
      <c r="S21" s="552">
        <f>+SUM(S8:S20)</f>
        <v>1.45</v>
      </c>
      <c r="T21" s="552">
        <f>+SUM(T8:T20)</f>
        <v>38.470000000000006</v>
      </c>
      <c r="U21" s="552">
        <f>+SUM(U8:U20)</f>
        <v>495.625</v>
      </c>
      <c r="V21" s="514">
        <f>V18+V7</f>
        <v>33.088000000000065</v>
      </c>
      <c r="W21" s="553">
        <f>+SUM(W8:W20)</f>
        <v>56676.77505</v>
      </c>
      <c r="Z21" s="476">
        <v>365.65700000000004</v>
      </c>
      <c r="AA21" s="647">
        <v>422.61699999999996</v>
      </c>
    </row>
    <row r="22" spans="2:16" ht="15" hidden="1">
      <c r="B22" s="493"/>
      <c r="C22" s="494"/>
      <c r="D22" s="494"/>
      <c r="E22" s="494"/>
      <c r="F22" s="494"/>
      <c r="G22" s="494"/>
      <c r="H22" s="494"/>
      <c r="I22" s="494"/>
      <c r="J22" s="495"/>
      <c r="K22" s="494"/>
      <c r="L22" s="494"/>
      <c r="M22" s="494"/>
      <c r="N22" s="494"/>
      <c r="O22" s="494"/>
      <c r="P22" s="496"/>
    </row>
    <row r="23" spans="2:16" ht="15" hidden="1">
      <c r="B23" s="493"/>
      <c r="C23" s="494"/>
      <c r="D23" s="494"/>
      <c r="E23" s="494"/>
      <c r="F23" s="497"/>
      <c r="G23" s="498"/>
      <c r="H23" s="498"/>
      <c r="I23" s="498"/>
      <c r="J23" s="499">
        <f>+J21/I21</f>
        <v>0.0037596335249574886</v>
      </c>
      <c r="K23" s="498"/>
      <c r="L23" s="498"/>
      <c r="M23" s="498"/>
      <c r="N23" s="498"/>
      <c r="O23" s="498"/>
      <c r="P23" s="499" t="e">
        <f>+P21/#REF!</f>
        <v>#REF!</v>
      </c>
    </row>
    <row r="24" spans="2:16" ht="15" hidden="1">
      <c r="B24" s="476" t="s">
        <v>434</v>
      </c>
      <c r="C24" s="476"/>
      <c r="D24" s="476"/>
      <c r="F24" s="497"/>
      <c r="G24" s="498"/>
      <c r="H24" s="498"/>
      <c r="I24" s="498"/>
      <c r="J24" s="498"/>
      <c r="K24" s="498"/>
      <c r="L24" s="498"/>
      <c r="M24" s="498"/>
      <c r="N24" s="498"/>
      <c r="O24" s="498"/>
      <c r="P24" s="498"/>
    </row>
    <row r="25" spans="2:11" ht="15" hidden="1">
      <c r="B25" s="500" t="s">
        <v>435</v>
      </c>
      <c r="C25" s="476">
        <f>+(1270+1210)/2</f>
        <v>1240</v>
      </c>
      <c r="D25" s="476" t="s">
        <v>436</v>
      </c>
      <c r="F25" s="501"/>
      <c r="G25" s="502"/>
      <c r="H25" s="502"/>
      <c r="J25" s="503">
        <f>+I21-J21</f>
        <v>120754.24724</v>
      </c>
      <c r="K25" s="496" t="e">
        <f>+#REF!-P21</f>
        <v>#REF!</v>
      </c>
    </row>
    <row r="26" spans="2:15" ht="15" hidden="1">
      <c r="B26" s="476" t="s">
        <v>437</v>
      </c>
      <c r="C26" s="476"/>
      <c r="D26" s="476"/>
      <c r="F26" s="501"/>
      <c r="G26" s="502"/>
      <c r="H26" s="502"/>
      <c r="I26" s="504"/>
      <c r="J26" s="505">
        <f>+J25/I21</f>
        <v>0.9962403664750425</v>
      </c>
      <c r="K26" s="505" t="e">
        <f>+K25/#REF!</f>
        <v>#REF!</v>
      </c>
      <c r="L26" s="504"/>
      <c r="M26" s="504"/>
      <c r="N26" s="504"/>
      <c r="O26" s="504"/>
    </row>
    <row r="27" spans="2:15" ht="15" hidden="1">
      <c r="B27" s="500" t="s">
        <v>438</v>
      </c>
      <c r="C27" s="476">
        <v>194.67</v>
      </c>
      <c r="D27" s="476" t="s">
        <v>439</v>
      </c>
      <c r="F27" s="501"/>
      <c r="G27" s="502"/>
      <c r="H27" s="502"/>
      <c r="I27" s="504"/>
      <c r="J27" s="504"/>
      <c r="K27" s="504"/>
      <c r="L27" s="504"/>
      <c r="M27" s="504"/>
      <c r="N27" s="504"/>
      <c r="O27" s="504"/>
    </row>
    <row r="28" spans="2:8" ht="15" hidden="1">
      <c r="B28" s="500" t="s">
        <v>440</v>
      </c>
      <c r="C28" s="476">
        <v>173.04</v>
      </c>
      <c r="D28" s="476" t="s">
        <v>439</v>
      </c>
      <c r="F28" s="501"/>
      <c r="G28" s="502"/>
      <c r="H28" s="502"/>
    </row>
    <row r="29" spans="2:16" ht="15" hidden="1">
      <c r="B29" s="500" t="s">
        <v>441</v>
      </c>
      <c r="C29" s="476">
        <v>111.72</v>
      </c>
      <c r="D29" s="476" t="s">
        <v>439</v>
      </c>
      <c r="F29" s="501"/>
      <c r="G29" s="506"/>
      <c r="H29" s="506"/>
      <c r="I29" s="506"/>
      <c r="J29" s="506"/>
      <c r="K29" s="506"/>
      <c r="L29" s="506"/>
      <c r="M29" s="506"/>
      <c r="N29" s="506"/>
      <c r="O29" s="506"/>
      <c r="P29" s="506"/>
    </row>
    <row r="30" spans="2:4" ht="15" hidden="1">
      <c r="B30" s="500" t="s">
        <v>442</v>
      </c>
      <c r="C30" s="476">
        <v>111.72</v>
      </c>
      <c r="D30" s="476" t="s">
        <v>439</v>
      </c>
    </row>
    <row r="31" spans="2:4" ht="15" hidden="1">
      <c r="B31" s="500" t="s">
        <v>443</v>
      </c>
      <c r="C31" s="476">
        <v>111.72</v>
      </c>
      <c r="D31" s="476" t="s">
        <v>439</v>
      </c>
    </row>
    <row r="32" spans="2:27" ht="15">
      <c r="B32" s="648"/>
      <c r="C32" s="648"/>
      <c r="D32" s="648"/>
      <c r="E32" s="648"/>
      <c r="F32" s="648"/>
      <c r="G32" s="648"/>
      <c r="J32" s="627"/>
      <c r="V32" s="626"/>
      <c r="AA32" s="635"/>
    </row>
    <row r="33" spans="3:22" ht="15">
      <c r="C33" s="507"/>
      <c r="D33" s="507"/>
      <c r="E33" s="507"/>
      <c r="F33" s="507"/>
      <c r="G33" s="507"/>
      <c r="J33" s="627"/>
      <c r="Q33" s="636"/>
      <c r="V33" s="626"/>
    </row>
    <row r="34" ht="15">
      <c r="J34" s="508"/>
    </row>
    <row r="35" spans="3:7" ht="15">
      <c r="C35" s="507"/>
      <c r="D35" s="507"/>
      <c r="E35" s="496"/>
      <c r="F35" s="496"/>
      <c r="G35" s="496"/>
    </row>
    <row r="36" spans="3:7" ht="15">
      <c r="C36" s="507"/>
      <c r="D36" s="507"/>
      <c r="E36" s="496"/>
      <c r="F36" s="496"/>
      <c r="G36" s="496"/>
    </row>
  </sheetData>
  <sheetProtection/>
  <mergeCells count="20">
    <mergeCell ref="J5:J6"/>
    <mergeCell ref="B1:F1"/>
    <mergeCell ref="B2:F2"/>
    <mergeCell ref="P5:P6"/>
    <mergeCell ref="A4:A6"/>
    <mergeCell ref="B4:B6"/>
    <mergeCell ref="C4:I4"/>
    <mergeCell ref="J4:P4"/>
    <mergeCell ref="K5:O5"/>
    <mergeCell ref="A3:V3"/>
    <mergeCell ref="B32:G32"/>
    <mergeCell ref="V4:V6"/>
    <mergeCell ref="Q4:Q6"/>
    <mergeCell ref="C5:C6"/>
    <mergeCell ref="D5:H5"/>
    <mergeCell ref="R5:R6"/>
    <mergeCell ref="R4:T4"/>
    <mergeCell ref="U4:U6"/>
    <mergeCell ref="S5:T5"/>
    <mergeCell ref="I5:I6"/>
  </mergeCells>
  <printOptions horizontalCentered="1"/>
  <pageMargins left="0.2" right="0.2362204724409449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F11" sqref="F11"/>
    </sheetView>
  </sheetViews>
  <sheetFormatPr defaultColWidth="9.00390625" defaultRowHeight="15.75"/>
  <cols>
    <col min="1" max="1" width="4.00390625" style="0" customWidth="1"/>
    <col min="2" max="2" width="12.75390625" style="0" customWidth="1"/>
    <col min="3" max="7" width="8.50390625" style="0" customWidth="1"/>
    <col min="8" max="15" width="8.00390625" style="0" hidden="1" customWidth="1"/>
    <col min="16" max="16" width="1.25" style="0" hidden="1" customWidth="1"/>
    <col min="17" max="17" width="10.00390625" style="0" customWidth="1"/>
    <col min="18" max="21" width="8.50390625" style="0" customWidth="1"/>
  </cols>
  <sheetData>
    <row r="1" spans="1:22" s="359" customFormat="1" ht="30.75" customHeight="1">
      <c r="A1" s="791" t="s">
        <v>372</v>
      </c>
      <c r="B1" s="792"/>
      <c r="C1" s="792"/>
      <c r="D1" s="792"/>
      <c r="E1" s="792"/>
      <c r="F1" s="792"/>
      <c r="G1" s="792"/>
      <c r="H1" s="791" t="s">
        <v>371</v>
      </c>
      <c r="I1" s="791"/>
      <c r="J1" s="791"/>
      <c r="K1" s="791"/>
      <c r="L1" s="791"/>
      <c r="M1" s="791"/>
      <c r="N1" s="791"/>
      <c r="O1" s="791"/>
      <c r="P1" s="791"/>
      <c r="Q1" s="791"/>
      <c r="R1" s="791"/>
      <c r="S1" s="791"/>
      <c r="T1" s="791"/>
      <c r="U1" s="791"/>
      <c r="V1" s="791"/>
    </row>
    <row r="2" ht="12.75" customHeight="1"/>
    <row r="3" spans="1:22" ht="27" customHeight="1">
      <c r="A3" s="796" t="s">
        <v>5</v>
      </c>
      <c r="B3" s="794" t="s">
        <v>318</v>
      </c>
      <c r="C3" s="794" t="s">
        <v>319</v>
      </c>
      <c r="D3" s="794"/>
      <c r="E3" s="794"/>
      <c r="F3" s="794"/>
      <c r="G3" s="794"/>
      <c r="H3" s="794" t="s">
        <v>320</v>
      </c>
      <c r="I3" s="794"/>
      <c r="J3" s="794"/>
      <c r="K3" s="794"/>
      <c r="L3" s="794"/>
      <c r="M3" s="794"/>
      <c r="N3" s="794"/>
      <c r="O3" s="794"/>
      <c r="P3" s="794"/>
      <c r="Q3" s="794" t="s">
        <v>185</v>
      </c>
      <c r="R3" s="793" t="s">
        <v>462</v>
      </c>
      <c r="S3" s="793"/>
      <c r="T3" s="793"/>
      <c r="U3" s="793"/>
      <c r="V3" s="794" t="s">
        <v>321</v>
      </c>
    </row>
    <row r="4" spans="1:22" ht="15.75" customHeight="1">
      <c r="A4" s="796"/>
      <c r="B4" s="794"/>
      <c r="C4" s="795" t="s">
        <v>322</v>
      </c>
      <c r="D4" s="387"/>
      <c r="E4" s="795" t="s">
        <v>323</v>
      </c>
      <c r="F4" s="795" t="s">
        <v>324</v>
      </c>
      <c r="G4" s="795" t="s">
        <v>325</v>
      </c>
      <c r="H4" s="794" t="s">
        <v>326</v>
      </c>
      <c r="I4" s="794"/>
      <c r="J4" s="794"/>
      <c r="K4" s="794" t="s">
        <v>327</v>
      </c>
      <c r="L4" s="794"/>
      <c r="M4" s="794"/>
      <c r="N4" s="794" t="s">
        <v>328</v>
      </c>
      <c r="O4" s="794"/>
      <c r="P4" s="794"/>
      <c r="Q4" s="794"/>
      <c r="R4" s="795" t="s">
        <v>322</v>
      </c>
      <c r="S4" s="795" t="s">
        <v>323</v>
      </c>
      <c r="T4" s="795" t="s">
        <v>324</v>
      </c>
      <c r="U4" s="795" t="s">
        <v>325</v>
      </c>
      <c r="V4" s="794"/>
    </row>
    <row r="5" spans="1:22" ht="75.75" customHeight="1">
      <c r="A5" s="796"/>
      <c r="B5" s="794"/>
      <c r="C5" s="795"/>
      <c r="D5" s="387"/>
      <c r="E5" s="795"/>
      <c r="F5" s="795"/>
      <c r="G5" s="795"/>
      <c r="H5" s="387" t="s">
        <v>329</v>
      </c>
      <c r="I5" s="387" t="s">
        <v>330</v>
      </c>
      <c r="J5" s="387" t="s">
        <v>331</v>
      </c>
      <c r="K5" s="387" t="s">
        <v>332</v>
      </c>
      <c r="L5" s="387" t="s">
        <v>333</v>
      </c>
      <c r="M5" s="387" t="s">
        <v>334</v>
      </c>
      <c r="N5" s="387" t="s">
        <v>335</v>
      </c>
      <c r="O5" s="387" t="s">
        <v>336</v>
      </c>
      <c r="P5" s="387" t="s">
        <v>337</v>
      </c>
      <c r="Q5" s="794"/>
      <c r="R5" s="795"/>
      <c r="S5" s="795"/>
      <c r="T5" s="795"/>
      <c r="U5" s="795"/>
      <c r="V5" s="794"/>
    </row>
    <row r="6" spans="1:21" ht="19.5" customHeight="1">
      <c r="A6" s="388"/>
      <c r="B6" s="389" t="s">
        <v>338</v>
      </c>
      <c r="C6" s="390">
        <f>+SUM(C7:C37)</f>
        <v>80</v>
      </c>
      <c r="D6" s="390"/>
      <c r="E6" s="390">
        <f>+SUM(E7:E37)</f>
        <v>19.299999999999997</v>
      </c>
      <c r="F6" s="390">
        <f>+SUM(F7:F37)</f>
        <v>45.19999999999999</v>
      </c>
      <c r="G6" s="390">
        <f>+SUM(G7:G37)</f>
        <v>15.499999999999998</v>
      </c>
      <c r="H6" s="390">
        <f>+SUM(H7:H37)</f>
        <v>1331.6999999999998</v>
      </c>
      <c r="I6" s="390">
        <f aca="true" t="shared" si="0" ref="I6:P6">+SUM(I7:I37)</f>
        <v>1536.8000000000002</v>
      </c>
      <c r="J6" s="390">
        <f t="shared" si="0"/>
        <v>1038.5</v>
      </c>
      <c r="K6" s="390">
        <f t="shared" si="0"/>
        <v>965</v>
      </c>
      <c r="L6" s="390">
        <f t="shared" si="0"/>
        <v>2260</v>
      </c>
      <c r="M6" s="390">
        <f t="shared" si="0"/>
        <v>527</v>
      </c>
      <c r="N6" s="390">
        <f t="shared" si="0"/>
        <v>1042.1999999999998</v>
      </c>
      <c r="O6" s="390">
        <f t="shared" si="0"/>
        <v>1265.6000000000001</v>
      </c>
      <c r="P6" s="390">
        <f t="shared" si="0"/>
        <v>170.5</v>
      </c>
      <c r="Q6" s="390">
        <f>+SUM(Q7:Q37)</f>
        <v>10137.3</v>
      </c>
      <c r="R6" s="390"/>
      <c r="S6" s="390"/>
      <c r="T6" s="390"/>
      <c r="U6" s="390"/>
    </row>
    <row r="7" spans="1:22" ht="19.5" customHeight="1">
      <c r="A7" s="391">
        <v>1</v>
      </c>
      <c r="B7" s="392" t="s">
        <v>339</v>
      </c>
      <c r="C7" s="392">
        <f aca="true" t="shared" si="1" ref="C7:C37">+E7+F7+G7</f>
        <v>2.4</v>
      </c>
      <c r="D7" s="392"/>
      <c r="E7" s="392"/>
      <c r="F7" s="392">
        <v>1.9</v>
      </c>
      <c r="G7" s="392">
        <v>0.5</v>
      </c>
      <c r="H7" s="392">
        <f>+E7*69</f>
        <v>0</v>
      </c>
      <c r="I7" s="392">
        <f>+F7*34</f>
        <v>64.6</v>
      </c>
      <c r="J7" s="392">
        <f>+G7*67</f>
        <v>33.5</v>
      </c>
      <c r="K7" s="392">
        <f>+E7*50</f>
        <v>0</v>
      </c>
      <c r="L7" s="392">
        <f>+F7*50</f>
        <v>95</v>
      </c>
      <c r="M7" s="392">
        <f>+G7*34</f>
        <v>17</v>
      </c>
      <c r="N7" s="392">
        <f>+E7*54</f>
        <v>0</v>
      </c>
      <c r="O7" s="392">
        <f>+F7*28</f>
        <v>53.199999999999996</v>
      </c>
      <c r="P7" s="392">
        <f>+G7*11</f>
        <v>5.5</v>
      </c>
      <c r="Q7" s="392">
        <f>+H7+I7+J7+K7+L7+M7+N7+O7+P7</f>
        <v>268.8</v>
      </c>
      <c r="R7" s="393">
        <f>+SUM(S7:U7)</f>
        <v>0</v>
      </c>
      <c r="S7" s="392"/>
      <c r="T7" s="392"/>
      <c r="U7" s="392"/>
      <c r="V7" s="394">
        <v>72</v>
      </c>
    </row>
    <row r="8" spans="1:22" ht="19.5" customHeight="1">
      <c r="A8" s="391">
        <v>2</v>
      </c>
      <c r="B8" s="392" t="s">
        <v>340</v>
      </c>
      <c r="C8" s="392">
        <f t="shared" si="1"/>
        <v>2</v>
      </c>
      <c r="D8" s="392"/>
      <c r="E8" s="392"/>
      <c r="F8" s="392">
        <v>1</v>
      </c>
      <c r="G8" s="392">
        <v>1</v>
      </c>
      <c r="H8" s="392">
        <f aca="true" t="shared" si="2" ref="H8:H37">+E8*69</f>
        <v>0</v>
      </c>
      <c r="I8" s="392">
        <f aca="true" t="shared" si="3" ref="I8:I37">+F8*34</f>
        <v>34</v>
      </c>
      <c r="J8" s="392">
        <f aca="true" t="shared" si="4" ref="J8:J37">+G8*67</f>
        <v>67</v>
      </c>
      <c r="K8" s="392">
        <f aca="true" t="shared" si="5" ref="K8:L37">+E8*50</f>
        <v>0</v>
      </c>
      <c r="L8" s="392">
        <f t="shared" si="5"/>
        <v>50</v>
      </c>
      <c r="M8" s="392">
        <f aca="true" t="shared" si="6" ref="M8:M37">+G8*34</f>
        <v>34</v>
      </c>
      <c r="N8" s="392">
        <f aca="true" t="shared" si="7" ref="N8:N37">+E8*54</f>
        <v>0</v>
      </c>
      <c r="O8" s="392">
        <f aca="true" t="shared" si="8" ref="O8:O37">+F8*28</f>
        <v>28</v>
      </c>
      <c r="P8" s="392">
        <f aca="true" t="shared" si="9" ref="P8:P37">+G8*11</f>
        <v>11</v>
      </c>
      <c r="Q8" s="392">
        <f aca="true" t="shared" si="10" ref="Q8:Q37">+H8+I8+J8+K8+L8+M8+N8+O8+P8</f>
        <v>224</v>
      </c>
      <c r="R8" s="393">
        <f aca="true" t="shared" si="11" ref="R8:R36">+SUM(S8:U8)</f>
        <v>0</v>
      </c>
      <c r="S8" s="392"/>
      <c r="T8" s="392"/>
      <c r="U8" s="392"/>
      <c r="V8" s="395">
        <v>24</v>
      </c>
    </row>
    <row r="9" spans="1:22" ht="19.5" customHeight="1">
      <c r="A9" s="391">
        <v>3</v>
      </c>
      <c r="B9" s="392" t="s">
        <v>341</v>
      </c>
      <c r="C9" s="392">
        <f t="shared" si="1"/>
        <v>2.1</v>
      </c>
      <c r="D9" s="392"/>
      <c r="E9" s="392">
        <v>0.3</v>
      </c>
      <c r="F9" s="392">
        <v>1.1</v>
      </c>
      <c r="G9" s="392">
        <v>0.7</v>
      </c>
      <c r="H9" s="392">
        <f t="shared" si="2"/>
        <v>20.7</v>
      </c>
      <c r="I9" s="392">
        <f t="shared" si="3"/>
        <v>37.400000000000006</v>
      </c>
      <c r="J9" s="392">
        <f t="shared" si="4"/>
        <v>46.9</v>
      </c>
      <c r="K9" s="392">
        <f t="shared" si="5"/>
        <v>15</v>
      </c>
      <c r="L9" s="392">
        <f t="shared" si="5"/>
        <v>55.00000000000001</v>
      </c>
      <c r="M9" s="392">
        <f t="shared" si="6"/>
        <v>23.799999999999997</v>
      </c>
      <c r="N9" s="392">
        <f t="shared" si="7"/>
        <v>16.2</v>
      </c>
      <c r="O9" s="392">
        <f t="shared" si="8"/>
        <v>30.800000000000004</v>
      </c>
      <c r="P9" s="392">
        <f t="shared" si="9"/>
        <v>7.699999999999999</v>
      </c>
      <c r="Q9" s="392">
        <f t="shared" si="10"/>
        <v>253.5</v>
      </c>
      <c r="R9" s="393">
        <f t="shared" si="11"/>
        <v>0.1</v>
      </c>
      <c r="S9" s="392"/>
      <c r="T9" s="395">
        <v>0.1</v>
      </c>
      <c r="U9" s="392"/>
      <c r="V9" s="395">
        <v>24</v>
      </c>
    </row>
    <row r="10" spans="1:22" ht="19.5" customHeight="1">
      <c r="A10" s="391">
        <v>4</v>
      </c>
      <c r="B10" s="392" t="s">
        <v>342</v>
      </c>
      <c r="C10" s="392">
        <f t="shared" si="1"/>
        <v>4.7</v>
      </c>
      <c r="D10" s="392"/>
      <c r="E10" s="392"/>
      <c r="F10" s="392">
        <v>4.7</v>
      </c>
      <c r="G10" s="392"/>
      <c r="H10" s="392">
        <f t="shared" si="2"/>
        <v>0</v>
      </c>
      <c r="I10" s="392">
        <f t="shared" si="3"/>
        <v>159.8</v>
      </c>
      <c r="J10" s="392">
        <f t="shared" si="4"/>
        <v>0</v>
      </c>
      <c r="K10" s="392">
        <f t="shared" si="5"/>
        <v>0</v>
      </c>
      <c r="L10" s="392">
        <f t="shared" si="5"/>
        <v>235</v>
      </c>
      <c r="M10" s="392">
        <f t="shared" si="6"/>
        <v>0</v>
      </c>
      <c r="N10" s="392">
        <f t="shared" si="7"/>
        <v>0</v>
      </c>
      <c r="O10" s="392">
        <f t="shared" si="8"/>
        <v>131.6</v>
      </c>
      <c r="P10" s="392">
        <f t="shared" si="9"/>
        <v>0</v>
      </c>
      <c r="Q10" s="392">
        <f t="shared" si="10"/>
        <v>526.4</v>
      </c>
      <c r="R10" s="393">
        <f t="shared" si="11"/>
        <v>0.77</v>
      </c>
      <c r="S10" s="392"/>
      <c r="T10" s="395">
        <v>0.77</v>
      </c>
      <c r="U10" s="392"/>
      <c r="V10" s="395">
        <v>400</v>
      </c>
    </row>
    <row r="11" spans="1:22" ht="19.5" customHeight="1">
      <c r="A11" s="391">
        <v>5</v>
      </c>
      <c r="B11" s="392" t="s">
        <v>343</v>
      </c>
      <c r="C11" s="392">
        <f t="shared" si="1"/>
        <v>4.2</v>
      </c>
      <c r="D11" s="392"/>
      <c r="E11" s="392">
        <v>1</v>
      </c>
      <c r="F11" s="392">
        <v>2.4</v>
      </c>
      <c r="G11" s="392">
        <v>0.8</v>
      </c>
      <c r="H11" s="392">
        <f t="shared" si="2"/>
        <v>69</v>
      </c>
      <c r="I11" s="392">
        <f t="shared" si="3"/>
        <v>81.6</v>
      </c>
      <c r="J11" s="392">
        <f t="shared" si="4"/>
        <v>53.6</v>
      </c>
      <c r="K11" s="392">
        <f t="shared" si="5"/>
        <v>50</v>
      </c>
      <c r="L11" s="392">
        <f t="shared" si="5"/>
        <v>120</v>
      </c>
      <c r="M11" s="392">
        <f t="shared" si="6"/>
        <v>27.200000000000003</v>
      </c>
      <c r="N11" s="392">
        <f t="shared" si="7"/>
        <v>54</v>
      </c>
      <c r="O11" s="392">
        <f t="shared" si="8"/>
        <v>67.2</v>
      </c>
      <c r="P11" s="392">
        <f t="shared" si="9"/>
        <v>8.8</v>
      </c>
      <c r="Q11" s="392">
        <f t="shared" si="10"/>
        <v>531.4</v>
      </c>
      <c r="R11" s="393">
        <f t="shared" si="11"/>
        <v>0.04</v>
      </c>
      <c r="S11" s="392"/>
      <c r="T11" s="395">
        <v>0.04</v>
      </c>
      <c r="U11" s="392"/>
      <c r="V11" s="395">
        <f>107+24</f>
        <v>131</v>
      </c>
    </row>
    <row r="12" spans="1:22" ht="19.5" customHeight="1">
      <c r="A12" s="391">
        <v>6</v>
      </c>
      <c r="B12" s="392" t="s">
        <v>344</v>
      </c>
      <c r="C12" s="392">
        <f t="shared" si="1"/>
        <v>2.4</v>
      </c>
      <c r="D12" s="392"/>
      <c r="E12" s="392">
        <v>1.7</v>
      </c>
      <c r="F12" s="392">
        <v>0.1</v>
      </c>
      <c r="G12" s="392">
        <v>0.6</v>
      </c>
      <c r="H12" s="392">
        <f t="shared" si="2"/>
        <v>117.3</v>
      </c>
      <c r="I12" s="392">
        <f t="shared" si="3"/>
        <v>3.4000000000000004</v>
      </c>
      <c r="J12" s="392">
        <f t="shared" si="4"/>
        <v>40.199999999999996</v>
      </c>
      <c r="K12" s="392">
        <f t="shared" si="5"/>
        <v>85</v>
      </c>
      <c r="L12" s="392">
        <f t="shared" si="5"/>
        <v>5</v>
      </c>
      <c r="M12" s="392">
        <f t="shared" si="6"/>
        <v>20.4</v>
      </c>
      <c r="N12" s="392">
        <f t="shared" si="7"/>
        <v>91.8</v>
      </c>
      <c r="O12" s="392">
        <f t="shared" si="8"/>
        <v>2.8000000000000003</v>
      </c>
      <c r="P12" s="392">
        <f t="shared" si="9"/>
        <v>6.6</v>
      </c>
      <c r="Q12" s="392">
        <f t="shared" si="10"/>
        <v>372.50000000000006</v>
      </c>
      <c r="R12" s="393">
        <f t="shared" si="11"/>
        <v>0</v>
      </c>
      <c r="S12" s="392"/>
      <c r="T12" s="392"/>
      <c r="U12" s="392"/>
      <c r="V12" s="396"/>
    </row>
    <row r="13" spans="1:22" ht="19.5" customHeight="1">
      <c r="A13" s="391">
        <v>7</v>
      </c>
      <c r="B13" s="392" t="s">
        <v>345</v>
      </c>
      <c r="C13" s="392">
        <f t="shared" si="1"/>
        <v>2.5</v>
      </c>
      <c r="D13" s="392"/>
      <c r="E13" s="392"/>
      <c r="F13" s="392">
        <v>2</v>
      </c>
      <c r="G13" s="392">
        <v>0.5</v>
      </c>
      <c r="H13" s="392">
        <f t="shared" si="2"/>
        <v>0</v>
      </c>
      <c r="I13" s="392">
        <f t="shared" si="3"/>
        <v>68</v>
      </c>
      <c r="J13" s="392">
        <f t="shared" si="4"/>
        <v>33.5</v>
      </c>
      <c r="K13" s="392">
        <f t="shared" si="5"/>
        <v>0</v>
      </c>
      <c r="L13" s="392">
        <f t="shared" si="5"/>
        <v>100</v>
      </c>
      <c r="M13" s="392">
        <f t="shared" si="6"/>
        <v>17</v>
      </c>
      <c r="N13" s="392">
        <f t="shared" si="7"/>
        <v>0</v>
      </c>
      <c r="O13" s="392">
        <f t="shared" si="8"/>
        <v>56</v>
      </c>
      <c r="P13" s="392">
        <f t="shared" si="9"/>
        <v>5.5</v>
      </c>
      <c r="Q13" s="392">
        <f t="shared" si="10"/>
        <v>280</v>
      </c>
      <c r="R13" s="393">
        <f t="shared" si="11"/>
        <v>0</v>
      </c>
      <c r="S13" s="392"/>
      <c r="T13" s="392"/>
      <c r="U13" s="392"/>
      <c r="V13" s="396"/>
    </row>
    <row r="14" spans="1:22" ht="19.5" customHeight="1">
      <c r="A14" s="391">
        <v>8</v>
      </c>
      <c r="B14" s="392" t="s">
        <v>346</v>
      </c>
      <c r="C14" s="392">
        <f t="shared" si="1"/>
        <v>1.7</v>
      </c>
      <c r="D14" s="392"/>
      <c r="E14" s="392">
        <v>0.2</v>
      </c>
      <c r="F14" s="392">
        <v>1.5</v>
      </c>
      <c r="G14" s="392"/>
      <c r="H14" s="392">
        <f t="shared" si="2"/>
        <v>13.8</v>
      </c>
      <c r="I14" s="392">
        <f t="shared" si="3"/>
        <v>51</v>
      </c>
      <c r="J14" s="392">
        <f t="shared" si="4"/>
        <v>0</v>
      </c>
      <c r="K14" s="392">
        <f t="shared" si="5"/>
        <v>10</v>
      </c>
      <c r="L14" s="392">
        <f t="shared" si="5"/>
        <v>75</v>
      </c>
      <c r="M14" s="392">
        <f t="shared" si="6"/>
        <v>0</v>
      </c>
      <c r="N14" s="392">
        <f t="shared" si="7"/>
        <v>10.8</v>
      </c>
      <c r="O14" s="392">
        <f t="shared" si="8"/>
        <v>42</v>
      </c>
      <c r="P14" s="392">
        <f t="shared" si="9"/>
        <v>0</v>
      </c>
      <c r="Q14" s="392">
        <f t="shared" si="10"/>
        <v>202.60000000000002</v>
      </c>
      <c r="R14" s="393">
        <f t="shared" si="11"/>
        <v>0</v>
      </c>
      <c r="S14" s="392"/>
      <c r="T14" s="392"/>
      <c r="U14" s="392"/>
      <c r="V14" s="396"/>
    </row>
    <row r="15" spans="1:22" ht="19.5" customHeight="1">
      <c r="A15" s="391">
        <v>9</v>
      </c>
      <c r="B15" s="392" t="s">
        <v>347</v>
      </c>
      <c r="C15" s="392">
        <f t="shared" si="1"/>
        <v>2.4</v>
      </c>
      <c r="D15" s="392"/>
      <c r="E15" s="392"/>
      <c r="F15" s="392">
        <v>2.4</v>
      </c>
      <c r="G15" s="392"/>
      <c r="H15" s="392">
        <f t="shared" si="2"/>
        <v>0</v>
      </c>
      <c r="I15" s="392">
        <f t="shared" si="3"/>
        <v>81.6</v>
      </c>
      <c r="J15" s="392">
        <f t="shared" si="4"/>
        <v>0</v>
      </c>
      <c r="K15" s="392">
        <f t="shared" si="5"/>
        <v>0</v>
      </c>
      <c r="L15" s="392">
        <f t="shared" si="5"/>
        <v>120</v>
      </c>
      <c r="M15" s="392">
        <f t="shared" si="6"/>
        <v>0</v>
      </c>
      <c r="N15" s="392">
        <f t="shared" si="7"/>
        <v>0</v>
      </c>
      <c r="O15" s="392">
        <f t="shared" si="8"/>
        <v>67.2</v>
      </c>
      <c r="P15" s="392">
        <f t="shared" si="9"/>
        <v>0</v>
      </c>
      <c r="Q15" s="392">
        <f t="shared" si="10"/>
        <v>268.8</v>
      </c>
      <c r="R15" s="393">
        <f t="shared" si="11"/>
        <v>0</v>
      </c>
      <c r="S15" s="392"/>
      <c r="T15" s="392"/>
      <c r="U15" s="392"/>
      <c r="V15" s="395">
        <v>48</v>
      </c>
    </row>
    <row r="16" spans="1:22" ht="19.5" customHeight="1">
      <c r="A16" s="391">
        <v>10</v>
      </c>
      <c r="B16" s="392" t="s">
        <v>348</v>
      </c>
      <c r="C16" s="392">
        <f t="shared" si="1"/>
        <v>2</v>
      </c>
      <c r="D16" s="392"/>
      <c r="E16" s="392"/>
      <c r="F16" s="392">
        <v>2</v>
      </c>
      <c r="G16" s="392"/>
      <c r="H16" s="392">
        <f t="shared" si="2"/>
        <v>0</v>
      </c>
      <c r="I16" s="392">
        <f t="shared" si="3"/>
        <v>68</v>
      </c>
      <c r="J16" s="392">
        <f t="shared" si="4"/>
        <v>0</v>
      </c>
      <c r="K16" s="392">
        <f t="shared" si="5"/>
        <v>0</v>
      </c>
      <c r="L16" s="392">
        <f t="shared" si="5"/>
        <v>100</v>
      </c>
      <c r="M16" s="392">
        <f t="shared" si="6"/>
        <v>0</v>
      </c>
      <c r="N16" s="392">
        <f t="shared" si="7"/>
        <v>0</v>
      </c>
      <c r="O16" s="392">
        <f t="shared" si="8"/>
        <v>56</v>
      </c>
      <c r="P16" s="392">
        <f t="shared" si="9"/>
        <v>0</v>
      </c>
      <c r="Q16" s="392">
        <f t="shared" si="10"/>
        <v>224</v>
      </c>
      <c r="R16" s="393">
        <f t="shared" si="11"/>
        <v>0.6</v>
      </c>
      <c r="S16" s="392"/>
      <c r="T16" s="395">
        <v>0.6</v>
      </c>
      <c r="U16" s="392"/>
      <c r="V16" s="395">
        <v>134</v>
      </c>
    </row>
    <row r="17" spans="1:22" ht="19.5" customHeight="1">
      <c r="A17" s="391">
        <v>11</v>
      </c>
      <c r="B17" s="392" t="s">
        <v>349</v>
      </c>
      <c r="C17" s="392">
        <f t="shared" si="1"/>
        <v>2.4</v>
      </c>
      <c r="D17" s="392"/>
      <c r="E17" s="392">
        <v>2</v>
      </c>
      <c r="F17" s="392">
        <v>0.4</v>
      </c>
      <c r="G17" s="392"/>
      <c r="H17" s="392">
        <f t="shared" si="2"/>
        <v>138</v>
      </c>
      <c r="I17" s="392">
        <f t="shared" si="3"/>
        <v>13.600000000000001</v>
      </c>
      <c r="J17" s="392">
        <f t="shared" si="4"/>
        <v>0</v>
      </c>
      <c r="K17" s="392">
        <f t="shared" si="5"/>
        <v>100</v>
      </c>
      <c r="L17" s="392">
        <f t="shared" si="5"/>
        <v>20</v>
      </c>
      <c r="M17" s="392">
        <f t="shared" si="6"/>
        <v>0</v>
      </c>
      <c r="N17" s="392">
        <f t="shared" si="7"/>
        <v>108</v>
      </c>
      <c r="O17" s="392">
        <f t="shared" si="8"/>
        <v>11.200000000000001</v>
      </c>
      <c r="P17" s="392">
        <f t="shared" si="9"/>
        <v>0</v>
      </c>
      <c r="Q17" s="392">
        <f t="shared" si="10"/>
        <v>390.8</v>
      </c>
      <c r="R17" s="393">
        <f t="shared" si="11"/>
        <v>0</v>
      </c>
      <c r="S17" s="392"/>
      <c r="T17" s="392"/>
      <c r="U17" s="392"/>
      <c r="V17" s="396"/>
    </row>
    <row r="18" spans="1:22" ht="19.5" customHeight="1">
      <c r="A18" s="391">
        <v>12</v>
      </c>
      <c r="B18" s="392" t="s">
        <v>350</v>
      </c>
      <c r="C18" s="397">
        <f t="shared" si="1"/>
        <v>2.4</v>
      </c>
      <c r="D18" s="397"/>
      <c r="E18" s="397">
        <v>0.1</v>
      </c>
      <c r="F18" s="397">
        <v>2.3</v>
      </c>
      <c r="G18" s="397"/>
      <c r="H18" s="392">
        <f t="shared" si="2"/>
        <v>6.9</v>
      </c>
      <c r="I18" s="392">
        <f t="shared" si="3"/>
        <v>78.19999999999999</v>
      </c>
      <c r="J18" s="392">
        <f t="shared" si="4"/>
        <v>0</v>
      </c>
      <c r="K18" s="392">
        <f t="shared" si="5"/>
        <v>5</v>
      </c>
      <c r="L18" s="392">
        <f t="shared" si="5"/>
        <v>114.99999999999999</v>
      </c>
      <c r="M18" s="392">
        <f t="shared" si="6"/>
        <v>0</v>
      </c>
      <c r="N18" s="392">
        <f t="shared" si="7"/>
        <v>5.4</v>
      </c>
      <c r="O18" s="392">
        <f t="shared" si="8"/>
        <v>64.39999999999999</v>
      </c>
      <c r="P18" s="392">
        <f t="shared" si="9"/>
        <v>0</v>
      </c>
      <c r="Q18" s="392">
        <f t="shared" si="10"/>
        <v>274.9</v>
      </c>
      <c r="R18" s="393">
        <f t="shared" si="11"/>
        <v>0</v>
      </c>
      <c r="S18" s="397"/>
      <c r="T18" s="397"/>
      <c r="U18" s="397"/>
      <c r="V18" s="396"/>
    </row>
    <row r="19" spans="1:22" ht="19.5" customHeight="1">
      <c r="A19" s="391">
        <v>13</v>
      </c>
      <c r="B19" s="392" t="s">
        <v>351</v>
      </c>
      <c r="C19" s="397">
        <f t="shared" si="1"/>
        <v>2.5</v>
      </c>
      <c r="D19" s="397"/>
      <c r="E19" s="397"/>
      <c r="F19" s="397">
        <v>1</v>
      </c>
      <c r="G19" s="397">
        <f>0.15+0.15+0.15+0.13+0.12+0.3+0.5</f>
        <v>1.5</v>
      </c>
      <c r="H19" s="392">
        <f t="shared" si="2"/>
        <v>0</v>
      </c>
      <c r="I19" s="392">
        <f t="shared" si="3"/>
        <v>34</v>
      </c>
      <c r="J19" s="392">
        <f t="shared" si="4"/>
        <v>100.5</v>
      </c>
      <c r="K19" s="392">
        <f t="shared" si="5"/>
        <v>0</v>
      </c>
      <c r="L19" s="392">
        <f t="shared" si="5"/>
        <v>50</v>
      </c>
      <c r="M19" s="392">
        <f t="shared" si="6"/>
        <v>51</v>
      </c>
      <c r="N19" s="392">
        <f t="shared" si="7"/>
        <v>0</v>
      </c>
      <c r="O19" s="392">
        <f t="shared" si="8"/>
        <v>28</v>
      </c>
      <c r="P19" s="392">
        <f t="shared" si="9"/>
        <v>16.5</v>
      </c>
      <c r="Q19" s="392">
        <f t="shared" si="10"/>
        <v>280</v>
      </c>
      <c r="R19" s="393">
        <f t="shared" si="11"/>
        <v>1.7</v>
      </c>
      <c r="S19" s="397"/>
      <c r="T19" s="395">
        <v>1.7</v>
      </c>
      <c r="U19" s="397"/>
      <c r="V19" s="395">
        <v>360</v>
      </c>
    </row>
    <row r="20" spans="1:22" ht="19.5" customHeight="1">
      <c r="A20" s="391">
        <v>14</v>
      </c>
      <c r="B20" s="392" t="s">
        <v>352</v>
      </c>
      <c r="C20" s="392">
        <f t="shared" si="1"/>
        <v>1.5</v>
      </c>
      <c r="D20" s="392"/>
      <c r="E20" s="392">
        <v>0.5</v>
      </c>
      <c r="F20" s="392">
        <v>0.8</v>
      </c>
      <c r="G20" s="392">
        <v>0.2</v>
      </c>
      <c r="H20" s="392">
        <f t="shared" si="2"/>
        <v>34.5</v>
      </c>
      <c r="I20" s="392">
        <f t="shared" si="3"/>
        <v>27.200000000000003</v>
      </c>
      <c r="J20" s="392">
        <f t="shared" si="4"/>
        <v>13.4</v>
      </c>
      <c r="K20" s="392">
        <f t="shared" si="5"/>
        <v>25</v>
      </c>
      <c r="L20" s="392">
        <f t="shared" si="5"/>
        <v>40</v>
      </c>
      <c r="M20" s="392">
        <f t="shared" si="6"/>
        <v>6.800000000000001</v>
      </c>
      <c r="N20" s="392">
        <f t="shared" si="7"/>
        <v>27</v>
      </c>
      <c r="O20" s="392">
        <f t="shared" si="8"/>
        <v>22.400000000000002</v>
      </c>
      <c r="P20" s="392">
        <f t="shared" si="9"/>
        <v>2.2</v>
      </c>
      <c r="Q20" s="392">
        <f t="shared" si="10"/>
        <v>198.50000000000003</v>
      </c>
      <c r="R20" s="393">
        <f t="shared" si="11"/>
        <v>0</v>
      </c>
      <c r="S20" s="392"/>
      <c r="T20" s="392"/>
      <c r="U20" s="392"/>
      <c r="V20" s="396"/>
    </row>
    <row r="21" spans="1:22" ht="19.5" customHeight="1">
      <c r="A21" s="391">
        <v>15</v>
      </c>
      <c r="B21" s="392" t="s">
        <v>353</v>
      </c>
      <c r="C21" s="392">
        <f t="shared" si="1"/>
        <v>4.3</v>
      </c>
      <c r="D21" s="392"/>
      <c r="E21" s="392">
        <v>0.55</v>
      </c>
      <c r="F21" s="392">
        <v>2.75</v>
      </c>
      <c r="G21" s="392">
        <v>1</v>
      </c>
      <c r="H21" s="392">
        <f t="shared" si="2"/>
        <v>37.95</v>
      </c>
      <c r="I21" s="392">
        <f t="shared" si="3"/>
        <v>93.5</v>
      </c>
      <c r="J21" s="392">
        <f t="shared" si="4"/>
        <v>67</v>
      </c>
      <c r="K21" s="392">
        <f t="shared" si="5"/>
        <v>27.500000000000004</v>
      </c>
      <c r="L21" s="392">
        <f t="shared" si="5"/>
        <v>137.5</v>
      </c>
      <c r="M21" s="392">
        <f t="shared" si="6"/>
        <v>34</v>
      </c>
      <c r="N21" s="392">
        <f t="shared" si="7"/>
        <v>29.700000000000003</v>
      </c>
      <c r="O21" s="392">
        <f t="shared" si="8"/>
        <v>77</v>
      </c>
      <c r="P21" s="392">
        <f t="shared" si="9"/>
        <v>11</v>
      </c>
      <c r="Q21" s="392">
        <f t="shared" si="10"/>
        <v>515.15</v>
      </c>
      <c r="R21" s="393">
        <f t="shared" si="11"/>
        <v>0.45</v>
      </c>
      <c r="S21" s="392"/>
      <c r="T21" s="395">
        <v>0.45</v>
      </c>
      <c r="U21" s="392"/>
      <c r="V21" s="395">
        <v>121</v>
      </c>
    </row>
    <row r="22" spans="1:22" ht="19.5" customHeight="1">
      <c r="A22" s="391">
        <v>16</v>
      </c>
      <c r="B22" s="392" t="s">
        <v>354</v>
      </c>
      <c r="C22" s="392">
        <f t="shared" si="1"/>
        <v>2.2</v>
      </c>
      <c r="D22" s="392"/>
      <c r="E22" s="392">
        <v>1.2</v>
      </c>
      <c r="F22" s="392">
        <v>0.8</v>
      </c>
      <c r="G22" s="392">
        <v>0.2</v>
      </c>
      <c r="H22" s="392">
        <f t="shared" si="2"/>
        <v>82.8</v>
      </c>
      <c r="I22" s="392">
        <f t="shared" si="3"/>
        <v>27.200000000000003</v>
      </c>
      <c r="J22" s="392">
        <f t="shared" si="4"/>
        <v>13.4</v>
      </c>
      <c r="K22" s="392">
        <f t="shared" si="5"/>
        <v>60</v>
      </c>
      <c r="L22" s="392">
        <f t="shared" si="5"/>
        <v>40</v>
      </c>
      <c r="M22" s="392">
        <f t="shared" si="6"/>
        <v>6.800000000000001</v>
      </c>
      <c r="N22" s="392">
        <f t="shared" si="7"/>
        <v>64.8</v>
      </c>
      <c r="O22" s="392">
        <f t="shared" si="8"/>
        <v>22.400000000000002</v>
      </c>
      <c r="P22" s="392">
        <f t="shared" si="9"/>
        <v>2.2</v>
      </c>
      <c r="Q22" s="392">
        <f t="shared" si="10"/>
        <v>319.59999999999997</v>
      </c>
      <c r="R22" s="393">
        <f t="shared" si="11"/>
        <v>0</v>
      </c>
      <c r="S22" s="392"/>
      <c r="T22" s="392"/>
      <c r="U22" s="392"/>
      <c r="V22" s="396"/>
    </row>
    <row r="23" spans="1:22" ht="19.5" customHeight="1">
      <c r="A23" s="391">
        <v>17</v>
      </c>
      <c r="B23" s="392" t="s">
        <v>355</v>
      </c>
      <c r="C23" s="392">
        <f t="shared" si="1"/>
        <v>1.2</v>
      </c>
      <c r="D23" s="392"/>
      <c r="E23" s="392">
        <v>0.3</v>
      </c>
      <c r="F23" s="392">
        <v>0.9</v>
      </c>
      <c r="G23" s="392"/>
      <c r="H23" s="392">
        <f t="shared" si="2"/>
        <v>20.7</v>
      </c>
      <c r="I23" s="392">
        <f t="shared" si="3"/>
        <v>30.6</v>
      </c>
      <c r="J23" s="392">
        <f t="shared" si="4"/>
        <v>0</v>
      </c>
      <c r="K23" s="392">
        <f t="shared" si="5"/>
        <v>15</v>
      </c>
      <c r="L23" s="392">
        <f t="shared" si="5"/>
        <v>45</v>
      </c>
      <c r="M23" s="392">
        <f t="shared" si="6"/>
        <v>0</v>
      </c>
      <c r="N23" s="392">
        <f t="shared" si="7"/>
        <v>16.2</v>
      </c>
      <c r="O23" s="392">
        <f t="shared" si="8"/>
        <v>25.2</v>
      </c>
      <c r="P23" s="392">
        <f t="shared" si="9"/>
        <v>0</v>
      </c>
      <c r="Q23" s="392">
        <f t="shared" si="10"/>
        <v>152.7</v>
      </c>
      <c r="R23" s="393">
        <f t="shared" si="11"/>
        <v>0</v>
      </c>
      <c r="S23" s="392"/>
      <c r="T23" s="392"/>
      <c r="U23" s="392"/>
      <c r="V23" s="396"/>
    </row>
    <row r="24" spans="1:22" ht="19.5" customHeight="1">
      <c r="A24" s="391">
        <v>18</v>
      </c>
      <c r="B24" s="392" t="s">
        <v>356</v>
      </c>
      <c r="C24" s="392">
        <f t="shared" si="1"/>
        <v>2.5</v>
      </c>
      <c r="D24" s="392"/>
      <c r="E24" s="392">
        <v>1.3</v>
      </c>
      <c r="F24" s="392">
        <v>0.2</v>
      </c>
      <c r="G24" s="392">
        <v>1</v>
      </c>
      <c r="H24" s="392">
        <f t="shared" si="2"/>
        <v>89.7</v>
      </c>
      <c r="I24" s="392">
        <f t="shared" si="3"/>
        <v>6.800000000000001</v>
      </c>
      <c r="J24" s="392">
        <f t="shared" si="4"/>
        <v>67</v>
      </c>
      <c r="K24" s="392">
        <f t="shared" si="5"/>
        <v>65</v>
      </c>
      <c r="L24" s="392">
        <f t="shared" si="5"/>
        <v>10</v>
      </c>
      <c r="M24" s="392">
        <f t="shared" si="6"/>
        <v>34</v>
      </c>
      <c r="N24" s="392">
        <f t="shared" si="7"/>
        <v>70.2</v>
      </c>
      <c r="O24" s="392">
        <f t="shared" si="8"/>
        <v>5.6000000000000005</v>
      </c>
      <c r="P24" s="392">
        <f t="shared" si="9"/>
        <v>11</v>
      </c>
      <c r="Q24" s="392">
        <f t="shared" si="10"/>
        <v>359.3</v>
      </c>
      <c r="R24" s="393">
        <f t="shared" si="11"/>
        <v>0.4</v>
      </c>
      <c r="S24" s="395">
        <v>0.4</v>
      </c>
      <c r="T24" s="392"/>
      <c r="U24" s="392"/>
      <c r="V24" s="395">
        <v>96</v>
      </c>
    </row>
    <row r="25" spans="1:22" ht="19.5" customHeight="1">
      <c r="A25" s="391">
        <v>19</v>
      </c>
      <c r="B25" s="392" t="s">
        <v>357</v>
      </c>
      <c r="C25" s="392">
        <f>+E25+F25+G25</f>
        <v>2.3</v>
      </c>
      <c r="D25" s="392"/>
      <c r="E25" s="392">
        <v>1.2</v>
      </c>
      <c r="F25" s="392">
        <v>0.5</v>
      </c>
      <c r="G25" s="392">
        <v>0.6</v>
      </c>
      <c r="H25" s="392">
        <f t="shared" si="2"/>
        <v>82.8</v>
      </c>
      <c r="I25" s="392">
        <f t="shared" si="3"/>
        <v>17</v>
      </c>
      <c r="J25" s="392">
        <f t="shared" si="4"/>
        <v>40.199999999999996</v>
      </c>
      <c r="K25" s="392">
        <f t="shared" si="5"/>
        <v>60</v>
      </c>
      <c r="L25" s="392">
        <f t="shared" si="5"/>
        <v>25</v>
      </c>
      <c r="M25" s="392">
        <f t="shared" si="6"/>
        <v>20.4</v>
      </c>
      <c r="N25" s="392">
        <f t="shared" si="7"/>
        <v>64.8</v>
      </c>
      <c r="O25" s="392">
        <f t="shared" si="8"/>
        <v>14</v>
      </c>
      <c r="P25" s="392">
        <f t="shared" si="9"/>
        <v>6.6</v>
      </c>
      <c r="Q25" s="392">
        <f t="shared" si="10"/>
        <v>330.8</v>
      </c>
      <c r="R25" s="393">
        <f t="shared" si="11"/>
        <v>0</v>
      </c>
      <c r="S25" s="392"/>
      <c r="T25" s="392"/>
      <c r="U25" s="392"/>
      <c r="V25" s="396"/>
    </row>
    <row r="26" spans="1:22" ht="19.5" customHeight="1">
      <c r="A26" s="391">
        <v>20</v>
      </c>
      <c r="B26" s="392" t="s">
        <v>358</v>
      </c>
      <c r="C26" s="392">
        <f t="shared" si="1"/>
        <v>4</v>
      </c>
      <c r="D26" s="392"/>
      <c r="E26" s="392">
        <v>0.2</v>
      </c>
      <c r="F26" s="392">
        <v>1</v>
      </c>
      <c r="G26" s="392">
        <v>2.8</v>
      </c>
      <c r="H26" s="392">
        <f t="shared" si="2"/>
        <v>13.8</v>
      </c>
      <c r="I26" s="392">
        <f t="shared" si="3"/>
        <v>34</v>
      </c>
      <c r="J26" s="392">
        <f t="shared" si="4"/>
        <v>187.6</v>
      </c>
      <c r="K26" s="392">
        <f t="shared" si="5"/>
        <v>10</v>
      </c>
      <c r="L26" s="392">
        <f t="shared" si="5"/>
        <v>50</v>
      </c>
      <c r="M26" s="392">
        <f t="shared" si="6"/>
        <v>95.19999999999999</v>
      </c>
      <c r="N26" s="392">
        <f t="shared" si="7"/>
        <v>10.8</v>
      </c>
      <c r="O26" s="392">
        <f t="shared" si="8"/>
        <v>28</v>
      </c>
      <c r="P26" s="392">
        <f t="shared" si="9"/>
        <v>30.799999999999997</v>
      </c>
      <c r="Q26" s="392">
        <f t="shared" si="10"/>
        <v>460.2</v>
      </c>
      <c r="R26" s="393">
        <f t="shared" si="11"/>
        <v>0.6000000000000001</v>
      </c>
      <c r="S26" s="392"/>
      <c r="T26" s="395">
        <v>0.2</v>
      </c>
      <c r="U26" s="395">
        <v>0.4</v>
      </c>
      <c r="V26" s="395">
        <v>238</v>
      </c>
    </row>
    <row r="27" spans="1:22" ht="19.5" customHeight="1">
      <c r="A27" s="391">
        <v>21</v>
      </c>
      <c r="B27" s="392" t="s">
        <v>359</v>
      </c>
      <c r="C27" s="392">
        <f t="shared" si="1"/>
        <v>4.199999999999999</v>
      </c>
      <c r="D27" s="392"/>
      <c r="E27" s="392">
        <v>1.9</v>
      </c>
      <c r="F27" s="392">
        <v>1.2</v>
      </c>
      <c r="G27" s="392">
        <v>1.1</v>
      </c>
      <c r="H27" s="392">
        <f t="shared" si="2"/>
        <v>131.1</v>
      </c>
      <c r="I27" s="392">
        <f t="shared" si="3"/>
        <v>40.8</v>
      </c>
      <c r="J27" s="392">
        <f t="shared" si="4"/>
        <v>73.7</v>
      </c>
      <c r="K27" s="392">
        <f t="shared" si="5"/>
        <v>95</v>
      </c>
      <c r="L27" s="392">
        <f t="shared" si="5"/>
        <v>60</v>
      </c>
      <c r="M27" s="392">
        <f t="shared" si="6"/>
        <v>37.400000000000006</v>
      </c>
      <c r="N27" s="392">
        <f t="shared" si="7"/>
        <v>102.6</v>
      </c>
      <c r="O27" s="392">
        <f t="shared" si="8"/>
        <v>33.6</v>
      </c>
      <c r="P27" s="392">
        <f t="shared" si="9"/>
        <v>12.100000000000001</v>
      </c>
      <c r="Q27" s="392">
        <f t="shared" si="10"/>
        <v>586.3000000000001</v>
      </c>
      <c r="R27" s="393">
        <f t="shared" si="11"/>
        <v>0.5</v>
      </c>
      <c r="S27" s="392"/>
      <c r="T27" s="395">
        <v>0.5</v>
      </c>
      <c r="U27" s="392"/>
      <c r="V27" s="395">
        <v>176</v>
      </c>
    </row>
    <row r="28" spans="1:22" ht="19.5" customHeight="1">
      <c r="A28" s="391">
        <v>22</v>
      </c>
      <c r="B28" s="392" t="s">
        <v>360</v>
      </c>
      <c r="C28" s="392">
        <f t="shared" si="1"/>
        <v>1.4</v>
      </c>
      <c r="D28" s="392"/>
      <c r="E28" s="392"/>
      <c r="F28" s="392">
        <v>0.9</v>
      </c>
      <c r="G28" s="392">
        <v>0.5</v>
      </c>
      <c r="H28" s="392">
        <f t="shared" si="2"/>
        <v>0</v>
      </c>
      <c r="I28" s="392">
        <f t="shared" si="3"/>
        <v>30.6</v>
      </c>
      <c r="J28" s="392">
        <f t="shared" si="4"/>
        <v>33.5</v>
      </c>
      <c r="K28" s="392">
        <f t="shared" si="5"/>
        <v>0</v>
      </c>
      <c r="L28" s="392">
        <f t="shared" si="5"/>
        <v>45</v>
      </c>
      <c r="M28" s="392">
        <f t="shared" si="6"/>
        <v>17</v>
      </c>
      <c r="N28" s="392">
        <f t="shared" si="7"/>
        <v>0</v>
      </c>
      <c r="O28" s="392">
        <f t="shared" si="8"/>
        <v>25.2</v>
      </c>
      <c r="P28" s="392">
        <f t="shared" si="9"/>
        <v>5.5</v>
      </c>
      <c r="Q28" s="392">
        <f t="shared" si="10"/>
        <v>156.79999999999998</v>
      </c>
      <c r="R28" s="393">
        <f t="shared" si="11"/>
        <v>0</v>
      </c>
      <c r="S28" s="392"/>
      <c r="T28" s="392"/>
      <c r="U28" s="392"/>
      <c r="V28" s="396"/>
    </row>
    <row r="29" spans="1:22" ht="19.5" customHeight="1">
      <c r="A29" s="391">
        <v>23</v>
      </c>
      <c r="B29" s="392" t="s">
        <v>361</v>
      </c>
      <c r="C29" s="392">
        <f t="shared" si="1"/>
        <v>2</v>
      </c>
      <c r="D29" s="392"/>
      <c r="E29" s="392">
        <v>1</v>
      </c>
      <c r="F29" s="392">
        <v>0.5</v>
      </c>
      <c r="G29" s="392">
        <v>0.5</v>
      </c>
      <c r="H29" s="392">
        <f t="shared" si="2"/>
        <v>69</v>
      </c>
      <c r="I29" s="392">
        <f t="shared" si="3"/>
        <v>17</v>
      </c>
      <c r="J29" s="392">
        <f t="shared" si="4"/>
        <v>33.5</v>
      </c>
      <c r="K29" s="392">
        <f t="shared" si="5"/>
        <v>50</v>
      </c>
      <c r="L29" s="392">
        <f t="shared" si="5"/>
        <v>25</v>
      </c>
      <c r="M29" s="392">
        <f t="shared" si="6"/>
        <v>17</v>
      </c>
      <c r="N29" s="392">
        <f t="shared" si="7"/>
        <v>54</v>
      </c>
      <c r="O29" s="392">
        <f t="shared" si="8"/>
        <v>14</v>
      </c>
      <c r="P29" s="392">
        <f t="shared" si="9"/>
        <v>5.5</v>
      </c>
      <c r="Q29" s="392">
        <f t="shared" si="10"/>
        <v>285</v>
      </c>
      <c r="R29" s="393">
        <f t="shared" si="11"/>
        <v>0.6</v>
      </c>
      <c r="S29" s="395">
        <v>0.6</v>
      </c>
      <c r="T29" s="392"/>
      <c r="U29" s="392"/>
      <c r="V29" s="395">
        <v>214</v>
      </c>
    </row>
    <row r="30" spans="1:22" ht="19.5" customHeight="1">
      <c r="A30" s="391">
        <v>24</v>
      </c>
      <c r="B30" s="392" t="s">
        <v>362</v>
      </c>
      <c r="C30" s="392">
        <f t="shared" si="1"/>
        <v>4</v>
      </c>
      <c r="D30" s="392"/>
      <c r="E30" s="392">
        <f>0.35+0.039+0.271+0.15+0.14</f>
        <v>0.95</v>
      </c>
      <c r="F30" s="392">
        <v>3.05</v>
      </c>
      <c r="G30" s="392"/>
      <c r="H30" s="392">
        <f t="shared" si="2"/>
        <v>65.55</v>
      </c>
      <c r="I30" s="392">
        <f t="shared" si="3"/>
        <v>103.69999999999999</v>
      </c>
      <c r="J30" s="392">
        <f t="shared" si="4"/>
        <v>0</v>
      </c>
      <c r="K30" s="392">
        <f t="shared" si="5"/>
        <v>47.5</v>
      </c>
      <c r="L30" s="392">
        <f t="shared" si="5"/>
        <v>152.5</v>
      </c>
      <c r="M30" s="392">
        <f t="shared" si="6"/>
        <v>0</v>
      </c>
      <c r="N30" s="392">
        <f t="shared" si="7"/>
        <v>51.3</v>
      </c>
      <c r="O30" s="392">
        <f t="shared" si="8"/>
        <v>85.39999999999999</v>
      </c>
      <c r="P30" s="392">
        <f t="shared" si="9"/>
        <v>0</v>
      </c>
      <c r="Q30" s="392">
        <f t="shared" si="10"/>
        <v>505.95</v>
      </c>
      <c r="R30" s="393">
        <f t="shared" si="11"/>
        <v>0</v>
      </c>
      <c r="S30" s="392"/>
      <c r="T30" s="392"/>
      <c r="U30" s="392"/>
      <c r="V30" s="395">
        <v>289</v>
      </c>
    </row>
    <row r="31" spans="1:22" ht="19.5" customHeight="1">
      <c r="A31" s="391">
        <v>25</v>
      </c>
      <c r="B31" s="392" t="s">
        <v>363</v>
      </c>
      <c r="C31" s="397">
        <f t="shared" si="1"/>
        <v>2</v>
      </c>
      <c r="D31" s="397"/>
      <c r="E31" s="397">
        <v>1</v>
      </c>
      <c r="F31" s="397">
        <v>0.5</v>
      </c>
      <c r="G31" s="392">
        <v>0.5</v>
      </c>
      <c r="H31" s="392">
        <f t="shared" si="2"/>
        <v>69</v>
      </c>
      <c r="I31" s="392">
        <f t="shared" si="3"/>
        <v>17</v>
      </c>
      <c r="J31" s="392">
        <f t="shared" si="4"/>
        <v>33.5</v>
      </c>
      <c r="K31" s="392">
        <f t="shared" si="5"/>
        <v>50</v>
      </c>
      <c r="L31" s="392">
        <f t="shared" si="5"/>
        <v>25</v>
      </c>
      <c r="M31" s="392">
        <f t="shared" si="6"/>
        <v>17</v>
      </c>
      <c r="N31" s="392">
        <f t="shared" si="7"/>
        <v>54</v>
      </c>
      <c r="O31" s="392">
        <f t="shared" si="8"/>
        <v>14</v>
      </c>
      <c r="P31" s="392">
        <f t="shared" si="9"/>
        <v>5.5</v>
      </c>
      <c r="Q31" s="392">
        <f t="shared" si="10"/>
        <v>285</v>
      </c>
      <c r="R31" s="393">
        <f t="shared" si="11"/>
        <v>0</v>
      </c>
      <c r="S31" s="397"/>
      <c r="T31" s="397"/>
      <c r="U31" s="392"/>
      <c r="V31" s="396"/>
    </row>
    <row r="32" spans="1:22" ht="19.5" customHeight="1">
      <c r="A32" s="391">
        <v>26</v>
      </c>
      <c r="B32" s="392" t="s">
        <v>364</v>
      </c>
      <c r="C32" s="392">
        <f t="shared" si="1"/>
        <v>1.4</v>
      </c>
      <c r="D32" s="392"/>
      <c r="E32" s="392">
        <v>0.7</v>
      </c>
      <c r="F32" s="392">
        <v>0.7</v>
      </c>
      <c r="G32" s="392"/>
      <c r="H32" s="392">
        <f t="shared" si="2"/>
        <v>48.3</v>
      </c>
      <c r="I32" s="392">
        <f t="shared" si="3"/>
        <v>23.799999999999997</v>
      </c>
      <c r="J32" s="392">
        <f t="shared" si="4"/>
        <v>0</v>
      </c>
      <c r="K32" s="392">
        <f t="shared" si="5"/>
        <v>35</v>
      </c>
      <c r="L32" s="392">
        <f t="shared" si="5"/>
        <v>35</v>
      </c>
      <c r="M32" s="392">
        <f t="shared" si="6"/>
        <v>0</v>
      </c>
      <c r="N32" s="392">
        <f t="shared" si="7"/>
        <v>37.8</v>
      </c>
      <c r="O32" s="392">
        <f t="shared" si="8"/>
        <v>19.599999999999998</v>
      </c>
      <c r="P32" s="392">
        <f t="shared" si="9"/>
        <v>0</v>
      </c>
      <c r="Q32" s="392">
        <f t="shared" si="10"/>
        <v>199.49999999999997</v>
      </c>
      <c r="R32" s="393">
        <f t="shared" si="11"/>
        <v>0</v>
      </c>
      <c r="S32" s="392"/>
      <c r="T32" s="392"/>
      <c r="U32" s="392"/>
      <c r="V32" s="396"/>
    </row>
    <row r="33" spans="1:22" ht="19.5" customHeight="1">
      <c r="A33" s="391">
        <v>27</v>
      </c>
      <c r="B33" s="392" t="s">
        <v>365</v>
      </c>
      <c r="C33" s="392">
        <f t="shared" si="1"/>
        <v>2.5</v>
      </c>
      <c r="D33" s="392"/>
      <c r="E33" s="392"/>
      <c r="F33" s="392">
        <v>2</v>
      </c>
      <c r="G33" s="392">
        <v>0.5</v>
      </c>
      <c r="H33" s="392">
        <f t="shared" si="2"/>
        <v>0</v>
      </c>
      <c r="I33" s="392">
        <f t="shared" si="3"/>
        <v>68</v>
      </c>
      <c r="J33" s="392">
        <f t="shared" si="4"/>
        <v>33.5</v>
      </c>
      <c r="K33" s="392">
        <f t="shared" si="5"/>
        <v>0</v>
      </c>
      <c r="L33" s="392">
        <f t="shared" si="5"/>
        <v>100</v>
      </c>
      <c r="M33" s="392">
        <f t="shared" si="6"/>
        <v>17</v>
      </c>
      <c r="N33" s="392">
        <f t="shared" si="7"/>
        <v>0</v>
      </c>
      <c r="O33" s="392">
        <f t="shared" si="8"/>
        <v>56</v>
      </c>
      <c r="P33" s="392">
        <f t="shared" si="9"/>
        <v>5.5</v>
      </c>
      <c r="Q33" s="392">
        <f t="shared" si="10"/>
        <v>280</v>
      </c>
      <c r="R33" s="393">
        <f t="shared" si="11"/>
        <v>0</v>
      </c>
      <c r="S33" s="392"/>
      <c r="T33" s="392"/>
      <c r="U33" s="392"/>
      <c r="V33" s="396"/>
    </row>
    <row r="34" spans="1:22" ht="19.5" customHeight="1">
      <c r="A34" s="391">
        <v>28</v>
      </c>
      <c r="B34" s="392" t="s">
        <v>366</v>
      </c>
      <c r="C34" s="392">
        <f t="shared" si="1"/>
        <v>3.5</v>
      </c>
      <c r="D34" s="392"/>
      <c r="E34" s="392">
        <v>1.7</v>
      </c>
      <c r="F34" s="392">
        <v>1.8</v>
      </c>
      <c r="G34" s="398"/>
      <c r="H34" s="392">
        <f t="shared" si="2"/>
        <v>117.3</v>
      </c>
      <c r="I34" s="392">
        <f t="shared" si="3"/>
        <v>61.2</v>
      </c>
      <c r="J34" s="392">
        <f t="shared" si="4"/>
        <v>0</v>
      </c>
      <c r="K34" s="392">
        <f t="shared" si="5"/>
        <v>85</v>
      </c>
      <c r="L34" s="392">
        <f t="shared" si="5"/>
        <v>90</v>
      </c>
      <c r="M34" s="392">
        <f t="shared" si="6"/>
        <v>0</v>
      </c>
      <c r="N34" s="392">
        <f t="shared" si="7"/>
        <v>91.8</v>
      </c>
      <c r="O34" s="392">
        <f t="shared" si="8"/>
        <v>50.4</v>
      </c>
      <c r="P34" s="392">
        <f t="shared" si="9"/>
        <v>0</v>
      </c>
      <c r="Q34" s="392">
        <f t="shared" si="10"/>
        <v>495.7</v>
      </c>
      <c r="R34" s="393">
        <f t="shared" si="11"/>
        <v>0</v>
      </c>
      <c r="S34" s="392"/>
      <c r="T34" s="392"/>
      <c r="U34" s="398"/>
      <c r="V34" s="395">
        <v>24</v>
      </c>
    </row>
    <row r="35" spans="1:22" ht="19.5" customHeight="1">
      <c r="A35" s="391">
        <v>29</v>
      </c>
      <c r="B35" s="392" t="s">
        <v>367</v>
      </c>
      <c r="C35" s="392">
        <f t="shared" si="1"/>
        <v>2.5</v>
      </c>
      <c r="D35" s="392"/>
      <c r="E35" s="392"/>
      <c r="F35" s="392">
        <v>2.3</v>
      </c>
      <c r="G35" s="392">
        <v>0.2</v>
      </c>
      <c r="H35" s="392">
        <f t="shared" si="2"/>
        <v>0</v>
      </c>
      <c r="I35" s="392">
        <f t="shared" si="3"/>
        <v>78.19999999999999</v>
      </c>
      <c r="J35" s="392">
        <f t="shared" si="4"/>
        <v>13.4</v>
      </c>
      <c r="K35" s="392">
        <f t="shared" si="5"/>
        <v>0</v>
      </c>
      <c r="L35" s="392">
        <f t="shared" si="5"/>
        <v>114.99999999999999</v>
      </c>
      <c r="M35" s="392">
        <f t="shared" si="6"/>
        <v>6.800000000000001</v>
      </c>
      <c r="N35" s="392">
        <f t="shared" si="7"/>
        <v>0</v>
      </c>
      <c r="O35" s="392">
        <f t="shared" si="8"/>
        <v>64.39999999999999</v>
      </c>
      <c r="P35" s="392">
        <f t="shared" si="9"/>
        <v>2.2</v>
      </c>
      <c r="Q35" s="392">
        <f t="shared" si="10"/>
        <v>279.99999999999994</v>
      </c>
      <c r="R35" s="393">
        <f t="shared" si="11"/>
        <v>0</v>
      </c>
      <c r="S35" s="392"/>
      <c r="T35" s="392"/>
      <c r="U35" s="392"/>
      <c r="V35" s="396"/>
    </row>
    <row r="36" spans="1:22" ht="19.5" customHeight="1">
      <c r="A36" s="391">
        <v>30</v>
      </c>
      <c r="B36" s="392" t="s">
        <v>368</v>
      </c>
      <c r="C36" s="392">
        <f t="shared" si="1"/>
        <v>2.4</v>
      </c>
      <c r="D36" s="392"/>
      <c r="E36" s="392">
        <v>1.5</v>
      </c>
      <c r="F36" s="392">
        <v>0.9</v>
      </c>
      <c r="G36" s="392"/>
      <c r="H36" s="392">
        <f t="shared" si="2"/>
        <v>103.5</v>
      </c>
      <c r="I36" s="392">
        <f t="shared" si="3"/>
        <v>30.6</v>
      </c>
      <c r="J36" s="392">
        <f t="shared" si="4"/>
        <v>0</v>
      </c>
      <c r="K36" s="392">
        <f t="shared" si="5"/>
        <v>75</v>
      </c>
      <c r="L36" s="392">
        <f t="shared" si="5"/>
        <v>45</v>
      </c>
      <c r="M36" s="392">
        <f t="shared" si="6"/>
        <v>0</v>
      </c>
      <c r="N36" s="392">
        <f t="shared" si="7"/>
        <v>81</v>
      </c>
      <c r="O36" s="392">
        <f t="shared" si="8"/>
        <v>25.2</v>
      </c>
      <c r="P36" s="392">
        <f t="shared" si="9"/>
        <v>0</v>
      </c>
      <c r="Q36" s="392">
        <f t="shared" si="10"/>
        <v>360.3</v>
      </c>
      <c r="R36" s="393">
        <f t="shared" si="11"/>
        <v>0</v>
      </c>
      <c r="S36" s="392"/>
      <c r="T36" s="392"/>
      <c r="U36" s="392"/>
      <c r="V36" s="396"/>
    </row>
    <row r="37" spans="1:22" ht="19.5" customHeight="1">
      <c r="A37" s="399">
        <v>31</v>
      </c>
      <c r="B37" s="400" t="s">
        <v>369</v>
      </c>
      <c r="C37" s="400">
        <f t="shared" si="1"/>
        <v>2.4000000000000004</v>
      </c>
      <c r="D37" s="400"/>
      <c r="E37" s="400"/>
      <c r="F37" s="400">
        <v>1.6</v>
      </c>
      <c r="G37" s="400">
        <v>0.8</v>
      </c>
      <c r="H37" s="400">
        <f t="shared" si="2"/>
        <v>0</v>
      </c>
      <c r="I37" s="400">
        <f t="shared" si="3"/>
        <v>54.400000000000006</v>
      </c>
      <c r="J37" s="400">
        <f t="shared" si="4"/>
        <v>53.6</v>
      </c>
      <c r="K37" s="400">
        <f t="shared" si="5"/>
        <v>0</v>
      </c>
      <c r="L37" s="400">
        <f t="shared" si="5"/>
        <v>80</v>
      </c>
      <c r="M37" s="400">
        <f t="shared" si="6"/>
        <v>27.200000000000003</v>
      </c>
      <c r="N37" s="400">
        <f t="shared" si="7"/>
        <v>0</v>
      </c>
      <c r="O37" s="400">
        <f t="shared" si="8"/>
        <v>44.800000000000004</v>
      </c>
      <c r="P37" s="400">
        <f t="shared" si="9"/>
        <v>8.8</v>
      </c>
      <c r="Q37" s="400">
        <f t="shared" si="10"/>
        <v>268.8</v>
      </c>
      <c r="R37" s="401">
        <f>SUM(R7:R36)</f>
        <v>5.76</v>
      </c>
      <c r="S37" s="401">
        <f>SUM(S7:S36)</f>
        <v>1</v>
      </c>
      <c r="T37" s="401">
        <f>SUM(T7:T36)</f>
        <v>4.36</v>
      </c>
      <c r="U37" s="401">
        <f>SUM(U7:U36)</f>
        <v>0.4</v>
      </c>
      <c r="V37" s="402">
        <f>SUM(V6:V36)</f>
        <v>2351</v>
      </c>
    </row>
    <row r="39" spans="12:16" ht="15.75">
      <c r="L39" s="722" t="s">
        <v>370</v>
      </c>
      <c r="M39" s="722"/>
      <c r="N39" s="722"/>
      <c r="O39" s="722"/>
      <c r="P39" s="71"/>
    </row>
  </sheetData>
  <sheetProtection/>
  <mergeCells count="21">
    <mergeCell ref="T4:T5"/>
    <mergeCell ref="L39:O39"/>
    <mergeCell ref="N4:P4"/>
    <mergeCell ref="A3:A5"/>
    <mergeCell ref="G4:G5"/>
    <mergeCell ref="U4:U5"/>
    <mergeCell ref="C3:G3"/>
    <mergeCell ref="B3:B5"/>
    <mergeCell ref="Q3:Q5"/>
    <mergeCell ref="H3:P3"/>
    <mergeCell ref="E4:E5"/>
    <mergeCell ref="A1:G1"/>
    <mergeCell ref="H1:V1"/>
    <mergeCell ref="R3:U3"/>
    <mergeCell ref="V3:V5"/>
    <mergeCell ref="C4:C5"/>
    <mergeCell ref="F4:F5"/>
    <mergeCell ref="S4:S5"/>
    <mergeCell ref="H4:J4"/>
    <mergeCell ref="K4:M4"/>
    <mergeCell ref="R4:R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P39"/>
  <sheetViews>
    <sheetView zoomScalePageLayoutView="0" workbookViewId="0" topLeftCell="A10">
      <selection activeCell="P36" sqref="P36"/>
    </sheetView>
  </sheetViews>
  <sheetFormatPr defaultColWidth="9.00390625" defaultRowHeight="15.75"/>
  <cols>
    <col min="1" max="1" width="4.375" style="73" customWidth="1"/>
    <col min="2" max="2" width="12.625" style="73" customWidth="1"/>
    <col min="3" max="3" width="6.50390625" style="73" customWidth="1"/>
    <col min="4" max="4" width="6.25390625" style="73" customWidth="1"/>
    <col min="5" max="5" width="6.375" style="73" customWidth="1"/>
    <col min="6" max="6" width="7.125" style="73" customWidth="1"/>
    <col min="7" max="7" width="6.625" style="73" customWidth="1"/>
    <col min="8" max="8" width="7.25390625" style="73" customWidth="1"/>
    <col min="9" max="9" width="10.625" style="73" customWidth="1"/>
    <col min="10" max="15" width="9.00390625" style="73" customWidth="1"/>
    <col min="16" max="16" width="10.125" style="445" customWidth="1"/>
    <col min="17" max="16384" width="9.00390625" style="73" customWidth="1"/>
  </cols>
  <sheetData>
    <row r="1" spans="1:15" s="443" customFormat="1" ht="15">
      <c r="A1" s="442"/>
      <c r="B1" s="799" t="s">
        <v>192</v>
      </c>
      <c r="C1" s="799"/>
      <c r="D1" s="799"/>
      <c r="E1" s="799"/>
      <c r="F1" s="799"/>
      <c r="G1" s="799"/>
      <c r="H1" s="799"/>
      <c r="I1" s="799"/>
      <c r="K1" s="799" t="s">
        <v>1</v>
      </c>
      <c r="L1" s="799"/>
      <c r="M1" s="799"/>
      <c r="N1" s="799"/>
      <c r="O1" s="799"/>
    </row>
    <row r="2" spans="1:15" s="443" customFormat="1" ht="15.75">
      <c r="A2" s="442"/>
      <c r="B2" s="799" t="s">
        <v>373</v>
      </c>
      <c r="C2" s="799"/>
      <c r="D2" s="799"/>
      <c r="E2" s="799"/>
      <c r="F2" s="799"/>
      <c r="G2" s="799"/>
      <c r="H2" s="799"/>
      <c r="I2" s="799"/>
      <c r="K2" s="800" t="s">
        <v>101</v>
      </c>
      <c r="L2" s="800"/>
      <c r="M2" s="800"/>
      <c r="N2" s="800"/>
      <c r="O2" s="800"/>
    </row>
    <row r="3" spans="1:9" ht="23.25" customHeight="1">
      <c r="A3" s="444"/>
      <c r="B3" s="444"/>
      <c r="C3" s="444"/>
      <c r="D3" s="444"/>
      <c r="E3" s="444"/>
      <c r="F3" s="444"/>
      <c r="G3" s="444"/>
      <c r="H3" s="444"/>
      <c r="I3" s="444"/>
    </row>
    <row r="4" spans="1:16" ht="32.25" customHeight="1">
      <c r="A4" s="801" t="s">
        <v>5</v>
      </c>
      <c r="B4" s="797" t="s">
        <v>102</v>
      </c>
      <c r="C4" s="801" t="s">
        <v>374</v>
      </c>
      <c r="D4" s="801"/>
      <c r="E4" s="801"/>
      <c r="F4" s="801"/>
      <c r="G4" s="801"/>
      <c r="H4" s="801"/>
      <c r="I4" s="797" t="s">
        <v>375</v>
      </c>
      <c r="J4" s="801" t="s">
        <v>462</v>
      </c>
      <c r="K4" s="801"/>
      <c r="L4" s="801"/>
      <c r="M4" s="801"/>
      <c r="N4" s="801"/>
      <c r="O4" s="801"/>
      <c r="P4" s="797" t="s">
        <v>107</v>
      </c>
    </row>
    <row r="5" spans="1:16" ht="118.5" customHeight="1">
      <c r="A5" s="802"/>
      <c r="B5" s="798"/>
      <c r="C5" s="542" t="s">
        <v>376</v>
      </c>
      <c r="D5" s="542" t="s">
        <v>268</v>
      </c>
      <c r="E5" s="542" t="s">
        <v>377</v>
      </c>
      <c r="F5" s="542" t="s">
        <v>14</v>
      </c>
      <c r="G5" s="542" t="s">
        <v>378</v>
      </c>
      <c r="H5" s="542" t="s">
        <v>379</v>
      </c>
      <c r="I5" s="798"/>
      <c r="J5" s="542" t="s">
        <v>376</v>
      </c>
      <c r="K5" s="542" t="s">
        <v>268</v>
      </c>
      <c r="L5" s="542" t="s">
        <v>377</v>
      </c>
      <c r="M5" s="542" t="s">
        <v>14</v>
      </c>
      <c r="N5" s="542" t="s">
        <v>378</v>
      </c>
      <c r="O5" s="542" t="s">
        <v>379</v>
      </c>
      <c r="P5" s="798"/>
    </row>
    <row r="6" spans="1:16" s="467" customFormat="1" ht="19.5" customHeight="1">
      <c r="A6" s="535">
        <v>1</v>
      </c>
      <c r="B6" s="536" t="s">
        <v>402</v>
      </c>
      <c r="C6" s="537">
        <f aca="true" t="shared" si="0" ref="C6:C35">SUM(D6:H6)</f>
        <v>2.549</v>
      </c>
      <c r="D6" s="538"/>
      <c r="E6" s="538">
        <v>1.758</v>
      </c>
      <c r="F6" s="538">
        <v>0.791</v>
      </c>
      <c r="G6" s="538"/>
      <c r="H6" s="538"/>
      <c r="I6" s="539">
        <v>392.57484</v>
      </c>
      <c r="J6" s="540">
        <f aca="true" t="shared" si="1" ref="J6:J35">+SUM(K6:O6)</f>
        <v>0.735</v>
      </c>
      <c r="K6" s="617"/>
      <c r="L6" s="618">
        <v>0.472</v>
      </c>
      <c r="M6" s="618">
        <v>0.263</v>
      </c>
      <c r="N6" s="617"/>
      <c r="O6" s="541"/>
      <c r="P6" s="543">
        <v>74.44</v>
      </c>
    </row>
    <row r="7" spans="1:16" s="458" customFormat="1" ht="19.5" customHeight="1">
      <c r="A7" s="459">
        <v>2</v>
      </c>
      <c r="B7" s="460" t="s">
        <v>394</v>
      </c>
      <c r="C7" s="447">
        <f t="shared" si="0"/>
        <v>6.26</v>
      </c>
      <c r="D7" s="448">
        <v>2.44</v>
      </c>
      <c r="E7" s="448">
        <v>0.9</v>
      </c>
      <c r="F7" s="448">
        <v>1.42</v>
      </c>
      <c r="G7" s="448">
        <v>1.5</v>
      </c>
      <c r="H7" s="448"/>
      <c r="I7" s="449">
        <v>956.9531999999999</v>
      </c>
      <c r="J7" s="450">
        <f t="shared" si="1"/>
        <v>1.2</v>
      </c>
      <c r="K7" s="619"/>
      <c r="L7" s="619"/>
      <c r="M7" s="620">
        <v>1.2</v>
      </c>
      <c r="N7" s="619"/>
      <c r="O7" s="461"/>
      <c r="P7" s="544">
        <v>115</v>
      </c>
    </row>
    <row r="8" spans="1:16" s="458" customFormat="1" ht="19.5" customHeight="1">
      <c r="A8" s="459">
        <v>3</v>
      </c>
      <c r="B8" s="460" t="s">
        <v>400</v>
      </c>
      <c r="C8" s="447">
        <f t="shared" si="0"/>
        <v>3.075</v>
      </c>
      <c r="D8" s="448"/>
      <c r="E8" s="448"/>
      <c r="F8" s="448">
        <f>3.955+0.12-1</f>
        <v>3.075</v>
      </c>
      <c r="G8" s="448"/>
      <c r="H8" s="448"/>
      <c r="I8" s="449">
        <v>343.53900000000004</v>
      </c>
      <c r="J8" s="450">
        <f t="shared" si="1"/>
        <v>1.9</v>
      </c>
      <c r="K8" s="621"/>
      <c r="L8" s="622"/>
      <c r="M8" s="623">
        <v>1.9</v>
      </c>
      <c r="N8" s="622"/>
      <c r="O8" s="461"/>
      <c r="P8" s="545">
        <v>8.439999999999998</v>
      </c>
    </row>
    <row r="9" spans="1:16" ht="19.5" customHeight="1">
      <c r="A9" s="459">
        <v>4</v>
      </c>
      <c r="B9" s="460" t="s">
        <v>385</v>
      </c>
      <c r="C9" s="447">
        <f t="shared" si="0"/>
        <v>3.0490000000000004</v>
      </c>
      <c r="D9" s="448"/>
      <c r="E9" s="448">
        <v>0.055</v>
      </c>
      <c r="F9" s="448">
        <v>2.994</v>
      </c>
      <c r="G9" s="448"/>
      <c r="H9" s="448"/>
      <c r="I9" s="449">
        <v>344.00688</v>
      </c>
      <c r="J9" s="450">
        <f t="shared" si="1"/>
        <v>0.44</v>
      </c>
      <c r="K9" s="619"/>
      <c r="L9" s="619"/>
      <c r="M9" s="619">
        <v>0.44</v>
      </c>
      <c r="N9" s="619"/>
      <c r="O9" s="461"/>
      <c r="P9" s="545">
        <v>174.44</v>
      </c>
    </row>
    <row r="10" spans="1:16" s="463" customFormat="1" ht="19.5" customHeight="1">
      <c r="A10" s="459">
        <v>5</v>
      </c>
      <c r="B10" s="446" t="s">
        <v>387</v>
      </c>
      <c r="C10" s="447">
        <f t="shared" si="0"/>
        <v>6.282</v>
      </c>
      <c r="D10" s="448"/>
      <c r="E10" s="448">
        <f>4.372-1</f>
        <v>3.372</v>
      </c>
      <c r="F10" s="448">
        <f>3.91-1</f>
        <v>2.91</v>
      </c>
      <c r="G10" s="448"/>
      <c r="H10" s="448"/>
      <c r="I10" s="449">
        <v>908.59608</v>
      </c>
      <c r="J10" s="450">
        <f t="shared" si="1"/>
        <v>1.5</v>
      </c>
      <c r="K10" s="619"/>
      <c r="L10" s="619"/>
      <c r="M10" s="619">
        <v>1.5</v>
      </c>
      <c r="N10" s="619"/>
      <c r="O10" s="461"/>
      <c r="P10" s="545">
        <v>40.44</v>
      </c>
    </row>
    <row r="11" spans="1:16" s="458" customFormat="1" ht="19.5" customHeight="1">
      <c r="A11" s="459">
        <v>6</v>
      </c>
      <c r="B11" s="452" t="s">
        <v>403</v>
      </c>
      <c r="C11" s="453">
        <f t="shared" si="0"/>
        <v>3.3280000000000003</v>
      </c>
      <c r="D11" s="454"/>
      <c r="E11" s="454">
        <v>0.28</v>
      </c>
      <c r="F11" s="454">
        <v>1.723</v>
      </c>
      <c r="G11" s="454">
        <v>1.325</v>
      </c>
      <c r="H11" s="454"/>
      <c r="I11" s="456">
        <v>388.97375999999997</v>
      </c>
      <c r="J11" s="450">
        <f t="shared" si="1"/>
        <v>2.2</v>
      </c>
      <c r="K11" s="622"/>
      <c r="L11" s="622">
        <v>0.33</v>
      </c>
      <c r="M11" s="622">
        <v>1.87</v>
      </c>
      <c r="N11" s="622"/>
      <c r="O11" s="461"/>
      <c r="P11" s="545"/>
    </row>
    <row r="12" spans="1:16" s="458" customFormat="1" ht="19.5" customHeight="1">
      <c r="A12" s="459">
        <v>7</v>
      </c>
      <c r="B12" s="460" t="s">
        <v>407</v>
      </c>
      <c r="C12" s="447">
        <f t="shared" si="0"/>
        <v>4.002</v>
      </c>
      <c r="D12" s="448"/>
      <c r="E12" s="448">
        <v>0.509</v>
      </c>
      <c r="F12" s="448">
        <f>3.122-1</f>
        <v>2.122</v>
      </c>
      <c r="G12" s="448">
        <v>1.371</v>
      </c>
      <c r="H12" s="448"/>
      <c r="I12" s="449">
        <v>478.31532</v>
      </c>
      <c r="J12" s="450">
        <f t="shared" si="1"/>
        <v>1</v>
      </c>
      <c r="K12" s="619"/>
      <c r="L12" s="619"/>
      <c r="M12" s="619">
        <v>0.8</v>
      </c>
      <c r="N12" s="619">
        <v>0.2</v>
      </c>
      <c r="O12" s="461"/>
      <c r="P12" s="545">
        <v>66.44</v>
      </c>
    </row>
    <row r="13" spans="1:16" s="458" customFormat="1" ht="19.5" customHeight="1">
      <c r="A13" s="459">
        <v>8</v>
      </c>
      <c r="B13" s="460" t="s">
        <v>383</v>
      </c>
      <c r="C13" s="447">
        <f t="shared" si="0"/>
        <v>3.04</v>
      </c>
      <c r="D13" s="448"/>
      <c r="E13" s="448"/>
      <c r="F13" s="448">
        <v>3.04</v>
      </c>
      <c r="G13" s="448"/>
      <c r="H13" s="448"/>
      <c r="I13" s="449">
        <v>339.6288</v>
      </c>
      <c r="J13" s="450">
        <f t="shared" si="1"/>
        <v>0.34</v>
      </c>
      <c r="K13" s="619"/>
      <c r="L13" s="619"/>
      <c r="M13" s="619">
        <v>0.34</v>
      </c>
      <c r="N13" s="619"/>
      <c r="O13" s="457"/>
      <c r="P13" s="545">
        <v>141.44</v>
      </c>
    </row>
    <row r="14" spans="1:16" ht="19.5" customHeight="1">
      <c r="A14" s="459">
        <v>9</v>
      </c>
      <c r="B14" s="460" t="s">
        <v>406</v>
      </c>
      <c r="C14" s="447">
        <f t="shared" si="0"/>
        <v>2.42</v>
      </c>
      <c r="D14" s="448"/>
      <c r="E14" s="448"/>
      <c r="F14" s="448">
        <v>0.92</v>
      </c>
      <c r="G14" s="448">
        <v>1.5</v>
      </c>
      <c r="H14" s="448"/>
      <c r="I14" s="449">
        <v>270.3624</v>
      </c>
      <c r="J14" s="450">
        <f t="shared" si="1"/>
        <v>0.875</v>
      </c>
      <c r="K14" s="619"/>
      <c r="L14" s="619"/>
      <c r="M14" s="620">
        <v>0.065</v>
      </c>
      <c r="N14" s="619">
        <v>0.81</v>
      </c>
      <c r="O14" s="461"/>
      <c r="P14" s="545">
        <v>124.44</v>
      </c>
    </row>
    <row r="15" spans="1:16" s="458" customFormat="1" ht="19.5" customHeight="1">
      <c r="A15" s="459">
        <v>10</v>
      </c>
      <c r="B15" s="460" t="s">
        <v>404</v>
      </c>
      <c r="C15" s="447">
        <f t="shared" si="0"/>
        <v>3.592</v>
      </c>
      <c r="D15" s="448"/>
      <c r="E15" s="448"/>
      <c r="F15" s="448">
        <v>1.38</v>
      </c>
      <c r="G15" s="448">
        <v>2.212</v>
      </c>
      <c r="H15" s="448"/>
      <c r="I15" s="449">
        <v>401.29824</v>
      </c>
      <c r="J15" s="450">
        <f t="shared" si="1"/>
        <v>0.25</v>
      </c>
      <c r="K15" s="619"/>
      <c r="L15" s="619">
        <v>0.08</v>
      </c>
      <c r="M15" s="619">
        <v>0.17</v>
      </c>
      <c r="N15" s="619"/>
      <c r="O15" s="457"/>
      <c r="P15" s="545">
        <v>190.44</v>
      </c>
    </row>
    <row r="16" spans="1:16" ht="19.5" customHeight="1">
      <c r="A16" s="459">
        <v>11</v>
      </c>
      <c r="B16" s="460" t="s">
        <v>396</v>
      </c>
      <c r="C16" s="447">
        <f t="shared" si="0"/>
        <v>3.07</v>
      </c>
      <c r="D16" s="448"/>
      <c r="E16" s="448"/>
      <c r="F16" s="448">
        <v>3.07</v>
      </c>
      <c r="G16" s="448"/>
      <c r="H16" s="448"/>
      <c r="I16" s="449">
        <v>342.9804</v>
      </c>
      <c r="J16" s="450">
        <f t="shared" si="1"/>
        <v>0.8</v>
      </c>
      <c r="K16" s="619"/>
      <c r="L16" s="619"/>
      <c r="M16" s="619">
        <v>0.8</v>
      </c>
      <c r="N16" s="619"/>
      <c r="O16" s="461"/>
      <c r="P16" s="545">
        <v>134.44</v>
      </c>
    </row>
    <row r="17" spans="1:16" ht="19.5" customHeight="1">
      <c r="A17" s="459">
        <v>12</v>
      </c>
      <c r="B17" s="460" t="s">
        <v>395</v>
      </c>
      <c r="C17" s="447">
        <f t="shared" si="0"/>
        <v>2.802</v>
      </c>
      <c r="D17" s="448"/>
      <c r="E17" s="448"/>
      <c r="F17" s="448">
        <v>2.802</v>
      </c>
      <c r="G17" s="448"/>
      <c r="H17" s="448"/>
      <c r="I17" s="449">
        <v>313.03944</v>
      </c>
      <c r="J17" s="450">
        <f t="shared" si="1"/>
        <v>1.57</v>
      </c>
      <c r="K17" s="619"/>
      <c r="L17" s="619"/>
      <c r="M17" s="619">
        <f>1.4+0.1+0.07</f>
        <v>1.57</v>
      </c>
      <c r="N17" s="619"/>
      <c r="O17" s="461"/>
      <c r="P17" s="545"/>
    </row>
    <row r="18" spans="1:16" ht="19.5" customHeight="1">
      <c r="A18" s="459">
        <v>13</v>
      </c>
      <c r="B18" s="460" t="s">
        <v>384</v>
      </c>
      <c r="C18" s="447">
        <f t="shared" si="0"/>
        <v>3.57</v>
      </c>
      <c r="D18" s="448"/>
      <c r="E18" s="448"/>
      <c r="F18" s="448">
        <v>3.57</v>
      </c>
      <c r="G18" s="448"/>
      <c r="H18" s="448"/>
      <c r="I18" s="449">
        <v>398.8404</v>
      </c>
      <c r="J18" s="450">
        <f t="shared" si="1"/>
        <v>0.7</v>
      </c>
      <c r="K18" s="619"/>
      <c r="L18" s="619"/>
      <c r="M18" s="619">
        <v>0.7</v>
      </c>
      <c r="N18" s="619"/>
      <c r="O18" s="461"/>
      <c r="P18" s="545">
        <v>131.44</v>
      </c>
    </row>
    <row r="19" spans="1:16" ht="19.5" customHeight="1">
      <c r="A19" s="459">
        <v>14</v>
      </c>
      <c r="B19" s="460" t="s">
        <v>405</v>
      </c>
      <c r="C19" s="447">
        <f t="shared" si="0"/>
        <v>2.5469999999999997</v>
      </c>
      <c r="D19" s="448"/>
      <c r="E19" s="448">
        <v>0.12</v>
      </c>
      <c r="F19" s="448">
        <v>1.357</v>
      </c>
      <c r="G19" s="448">
        <v>1.07</v>
      </c>
      <c r="H19" s="448"/>
      <c r="I19" s="449">
        <v>291.90924</v>
      </c>
      <c r="J19" s="450">
        <f t="shared" si="1"/>
        <v>1.01</v>
      </c>
      <c r="K19" s="461">
        <v>0.15</v>
      </c>
      <c r="L19" s="461">
        <v>0.12</v>
      </c>
      <c r="M19" s="461">
        <v>0.48</v>
      </c>
      <c r="N19" s="461">
        <v>0.26</v>
      </c>
      <c r="O19" s="461"/>
      <c r="P19" s="545">
        <v>14.439999999999998</v>
      </c>
    </row>
    <row r="20" spans="1:16" s="458" customFormat="1" ht="19.5" customHeight="1">
      <c r="A20" s="459">
        <v>15</v>
      </c>
      <c r="B20" s="452" t="s">
        <v>381</v>
      </c>
      <c r="C20" s="453">
        <f t="shared" si="0"/>
        <v>2.7</v>
      </c>
      <c r="D20" s="454"/>
      <c r="E20" s="454"/>
      <c r="F20" s="455">
        <f>2.7-0.07</f>
        <v>2.6300000000000003</v>
      </c>
      <c r="G20" s="454"/>
      <c r="H20" s="454">
        <v>0.07</v>
      </c>
      <c r="I20" s="456">
        <v>302.76120000000003</v>
      </c>
      <c r="J20" s="450">
        <f t="shared" si="1"/>
        <v>0.5700000000000001</v>
      </c>
      <c r="K20" s="622"/>
      <c r="L20" s="622"/>
      <c r="M20" s="622">
        <f>0.12+0.45</f>
        <v>0.5700000000000001</v>
      </c>
      <c r="N20" s="622"/>
      <c r="O20" s="457"/>
      <c r="P20" s="545">
        <v>150.44</v>
      </c>
    </row>
    <row r="21" spans="1:16" s="458" customFormat="1" ht="19.5" customHeight="1">
      <c r="A21" s="459">
        <v>16</v>
      </c>
      <c r="B21" s="452" t="s">
        <v>386</v>
      </c>
      <c r="C21" s="453">
        <f t="shared" si="0"/>
        <v>2.495</v>
      </c>
      <c r="D21" s="454"/>
      <c r="E21" s="454">
        <v>0.282</v>
      </c>
      <c r="F21" s="454">
        <f>0.523+1.69</f>
        <v>2.213</v>
      </c>
      <c r="G21" s="454"/>
      <c r="H21" s="454"/>
      <c r="I21" s="456">
        <v>296.03364</v>
      </c>
      <c r="J21" s="450">
        <f t="shared" si="1"/>
        <v>0.37</v>
      </c>
      <c r="K21" s="619"/>
      <c r="L21" s="619"/>
      <c r="M21" s="619">
        <v>0.37</v>
      </c>
      <c r="N21" s="619"/>
      <c r="O21" s="461"/>
      <c r="P21" s="545">
        <v>130</v>
      </c>
    </row>
    <row r="22" spans="1:16" ht="19.5" customHeight="1">
      <c r="A22" s="459">
        <v>17</v>
      </c>
      <c r="B22" s="460" t="s">
        <v>389</v>
      </c>
      <c r="C22" s="447">
        <f t="shared" si="0"/>
        <v>2.539</v>
      </c>
      <c r="D22" s="448"/>
      <c r="E22" s="448">
        <v>1.877</v>
      </c>
      <c r="F22" s="448">
        <v>0.662</v>
      </c>
      <c r="G22" s="448"/>
      <c r="H22" s="448"/>
      <c r="I22" s="449">
        <v>398.75471999999996</v>
      </c>
      <c r="J22" s="450">
        <f t="shared" si="1"/>
        <v>0.725</v>
      </c>
      <c r="K22" s="619"/>
      <c r="L22" s="619">
        <v>0.635</v>
      </c>
      <c r="M22" s="619">
        <v>0.09</v>
      </c>
      <c r="N22" s="619"/>
      <c r="O22" s="461"/>
      <c r="P22" s="545">
        <v>103.44</v>
      </c>
    </row>
    <row r="23" spans="1:16" ht="19.5" customHeight="1">
      <c r="A23" s="459">
        <v>18</v>
      </c>
      <c r="B23" s="460" t="s">
        <v>390</v>
      </c>
      <c r="C23" s="447">
        <f t="shared" si="0"/>
        <v>2.63</v>
      </c>
      <c r="D23" s="448"/>
      <c r="E23" s="448">
        <v>0.72</v>
      </c>
      <c r="F23" s="448">
        <v>0.91</v>
      </c>
      <c r="G23" s="448"/>
      <c r="H23" s="448">
        <v>1</v>
      </c>
      <c r="I23" s="449">
        <v>353.93399999999997</v>
      </c>
      <c r="J23" s="450">
        <f t="shared" si="1"/>
        <v>0.66</v>
      </c>
      <c r="K23" s="619"/>
      <c r="L23" s="619"/>
      <c r="M23" s="619">
        <v>0.66</v>
      </c>
      <c r="N23" s="619"/>
      <c r="O23" s="461"/>
      <c r="P23" s="545">
        <v>120</v>
      </c>
    </row>
    <row r="24" spans="1:16" s="458" customFormat="1" ht="19.5" customHeight="1">
      <c r="A24" s="459">
        <v>19</v>
      </c>
      <c r="B24" s="460" t="s">
        <v>391</v>
      </c>
      <c r="C24" s="447">
        <f t="shared" si="0"/>
        <v>4.79</v>
      </c>
      <c r="D24" s="448"/>
      <c r="E24" s="448">
        <v>1.75</v>
      </c>
      <c r="F24" s="448">
        <f>4.34-1.5</f>
        <v>2.84</v>
      </c>
      <c r="G24" s="448"/>
      <c r="H24" s="448">
        <v>0.2</v>
      </c>
      <c r="I24" s="449">
        <v>645.6407999999999</v>
      </c>
      <c r="J24" s="450">
        <f t="shared" si="1"/>
        <v>0.98</v>
      </c>
      <c r="K24" s="619"/>
      <c r="L24" s="619"/>
      <c r="M24" s="619">
        <v>0.98</v>
      </c>
      <c r="N24" s="619"/>
      <c r="O24" s="461"/>
      <c r="P24" s="545">
        <v>99.44</v>
      </c>
    </row>
    <row r="25" spans="1:16" s="465" customFormat="1" ht="19.5" customHeight="1">
      <c r="A25" s="459">
        <v>20</v>
      </c>
      <c r="B25" s="446" t="s">
        <v>392</v>
      </c>
      <c r="C25" s="447">
        <f t="shared" si="0"/>
        <v>6.58</v>
      </c>
      <c r="D25" s="448"/>
      <c r="E25" s="448">
        <v>2.5</v>
      </c>
      <c r="F25" s="448">
        <f>6.08-2</f>
        <v>4.08</v>
      </c>
      <c r="G25" s="448"/>
      <c r="H25" s="448"/>
      <c r="I25" s="449">
        <v>888.4176</v>
      </c>
      <c r="J25" s="450">
        <f t="shared" si="1"/>
        <v>1.087</v>
      </c>
      <c r="K25" s="624"/>
      <c r="L25" s="624">
        <v>0.48</v>
      </c>
      <c r="M25" s="625">
        <v>0.607</v>
      </c>
      <c r="N25" s="624"/>
      <c r="O25" s="464"/>
      <c r="P25" s="545">
        <v>72.44</v>
      </c>
    </row>
    <row r="26" spans="1:16" ht="19.5" customHeight="1">
      <c r="A26" s="459">
        <v>21</v>
      </c>
      <c r="B26" s="460" t="s">
        <v>382</v>
      </c>
      <c r="C26" s="447">
        <f t="shared" si="0"/>
        <v>4</v>
      </c>
      <c r="D26" s="448"/>
      <c r="E26" s="448">
        <v>0.87</v>
      </c>
      <c r="F26" s="448">
        <v>1.1</v>
      </c>
      <c r="G26" s="448">
        <v>2.03</v>
      </c>
      <c r="H26" s="448"/>
      <c r="I26" s="449">
        <v>500.22839999999997</v>
      </c>
      <c r="J26" s="450">
        <f t="shared" si="1"/>
        <v>1.9</v>
      </c>
      <c r="K26" s="622"/>
      <c r="L26" s="622"/>
      <c r="M26" s="622">
        <v>1.9</v>
      </c>
      <c r="N26" s="622"/>
      <c r="O26" s="461"/>
      <c r="P26" s="545">
        <v>40</v>
      </c>
    </row>
    <row r="27" spans="1:16" ht="19.5" customHeight="1">
      <c r="A27" s="459">
        <v>22</v>
      </c>
      <c r="B27" s="460" t="s">
        <v>398</v>
      </c>
      <c r="C27" s="447">
        <f t="shared" si="0"/>
        <v>3.7520000000000002</v>
      </c>
      <c r="D27" s="448"/>
      <c r="E27" s="448">
        <v>0.35</v>
      </c>
      <c r="F27" s="448">
        <f>3.802-0.4</f>
        <v>3.402</v>
      </c>
      <c r="G27" s="448"/>
      <c r="H27" s="448"/>
      <c r="I27" s="449">
        <v>440.63544</v>
      </c>
      <c r="J27" s="450">
        <f t="shared" si="1"/>
        <v>1.6</v>
      </c>
      <c r="K27" s="619"/>
      <c r="L27" s="619"/>
      <c r="M27" s="619">
        <v>1.6</v>
      </c>
      <c r="N27" s="619"/>
      <c r="O27" s="461"/>
      <c r="P27" s="545">
        <v>28.439999999999998</v>
      </c>
    </row>
    <row r="28" spans="1:16" ht="19.5" customHeight="1">
      <c r="A28" s="459">
        <v>23</v>
      </c>
      <c r="B28" s="460" t="s">
        <v>388</v>
      </c>
      <c r="C28" s="447">
        <f t="shared" si="0"/>
        <v>3.06</v>
      </c>
      <c r="D28" s="448"/>
      <c r="E28" s="448">
        <v>0.5</v>
      </c>
      <c r="F28" s="448">
        <v>1.56</v>
      </c>
      <c r="G28" s="448">
        <v>1</v>
      </c>
      <c r="H28" s="448"/>
      <c r="I28" s="449">
        <v>372.5232</v>
      </c>
      <c r="J28" s="450">
        <f t="shared" si="1"/>
        <v>0.5</v>
      </c>
      <c r="K28" s="619"/>
      <c r="L28" s="619"/>
      <c r="M28" s="619">
        <v>0.5</v>
      </c>
      <c r="N28" s="619"/>
      <c r="O28" s="295"/>
      <c r="P28" s="545">
        <v>90</v>
      </c>
    </row>
    <row r="29" spans="1:16" ht="19.5" customHeight="1">
      <c r="A29" s="459">
        <v>24</v>
      </c>
      <c r="B29" s="460" t="s">
        <v>399</v>
      </c>
      <c r="C29" s="447">
        <f t="shared" si="0"/>
        <v>1.5</v>
      </c>
      <c r="D29" s="448"/>
      <c r="E29" s="448"/>
      <c r="F29" s="448">
        <v>1.5</v>
      </c>
      <c r="G29" s="448"/>
      <c r="H29" s="448"/>
      <c r="I29" s="449">
        <v>167.57999999999998</v>
      </c>
      <c r="J29" s="450">
        <f t="shared" si="1"/>
        <v>0.1</v>
      </c>
      <c r="K29" s="461"/>
      <c r="L29" s="461"/>
      <c r="M29" s="461">
        <v>0.1</v>
      </c>
      <c r="N29" s="461"/>
      <c r="O29" s="295"/>
      <c r="P29" s="545">
        <v>100</v>
      </c>
    </row>
    <row r="30" spans="1:16" ht="19.5" customHeight="1">
      <c r="A30" s="459">
        <v>25</v>
      </c>
      <c r="B30" s="460" t="s">
        <v>401</v>
      </c>
      <c r="C30" s="466">
        <f t="shared" si="0"/>
        <v>3.7750000000000004</v>
      </c>
      <c r="D30" s="448"/>
      <c r="E30" s="448">
        <f>1.35</f>
        <v>1.35</v>
      </c>
      <c r="F30" s="448">
        <v>1.725</v>
      </c>
      <c r="G30" s="448">
        <v>0.7</v>
      </c>
      <c r="H30" s="448"/>
      <c r="I30" s="449">
        <v>504.52500000000003</v>
      </c>
      <c r="J30" s="450">
        <f t="shared" si="1"/>
        <v>0</v>
      </c>
      <c r="K30" s="622"/>
      <c r="L30" s="622"/>
      <c r="M30" s="622"/>
      <c r="N30" s="622"/>
      <c r="O30" s="295"/>
      <c r="P30" s="545">
        <v>110</v>
      </c>
    </row>
    <row r="31" spans="1:16" s="458" customFormat="1" ht="19.5" customHeight="1">
      <c r="A31" s="459">
        <v>26</v>
      </c>
      <c r="B31" s="460" t="s">
        <v>393</v>
      </c>
      <c r="C31" s="447">
        <f t="shared" si="0"/>
        <v>2.8200000000000003</v>
      </c>
      <c r="D31" s="448">
        <v>0.65</v>
      </c>
      <c r="E31" s="448">
        <v>0.4</v>
      </c>
      <c r="F31" s="448">
        <v>1.77</v>
      </c>
      <c r="G31" s="448"/>
      <c r="H31" s="448"/>
      <c r="I31" s="449">
        <v>393.4959</v>
      </c>
      <c r="J31" s="450">
        <f t="shared" si="1"/>
        <v>0</v>
      </c>
      <c r="K31" s="461"/>
      <c r="L31" s="461"/>
      <c r="M31" s="461"/>
      <c r="N31" s="461"/>
      <c r="O31" s="457"/>
      <c r="P31" s="545">
        <v>110</v>
      </c>
    </row>
    <row r="32" spans="1:16" ht="19.5" customHeight="1">
      <c r="A32" s="459">
        <v>27</v>
      </c>
      <c r="B32" s="446" t="s">
        <v>380</v>
      </c>
      <c r="C32" s="447">
        <f t="shared" si="0"/>
        <v>2.408</v>
      </c>
      <c r="D32" s="448"/>
      <c r="E32" s="448">
        <v>0.3</v>
      </c>
      <c r="F32" s="448">
        <v>1.908</v>
      </c>
      <c r="G32" s="448">
        <v>0.2</v>
      </c>
      <c r="H32" s="448"/>
      <c r="I32" s="449">
        <v>287.41776</v>
      </c>
      <c r="J32" s="450">
        <f t="shared" si="1"/>
        <v>0</v>
      </c>
      <c r="K32" s="622"/>
      <c r="L32" s="622"/>
      <c r="M32" s="622"/>
      <c r="N32" s="622"/>
      <c r="O32" s="295"/>
      <c r="P32" s="545">
        <v>110</v>
      </c>
    </row>
    <row r="33" spans="1:16" s="458" customFormat="1" ht="19.5" customHeight="1">
      <c r="A33" s="459">
        <v>28</v>
      </c>
      <c r="B33" s="452" t="s">
        <v>397</v>
      </c>
      <c r="C33" s="453">
        <f t="shared" si="0"/>
        <v>2.6999999999999997</v>
      </c>
      <c r="D33" s="454"/>
      <c r="E33" s="454"/>
      <c r="F33" s="454">
        <f>1.73+0.7</f>
        <v>2.4299999999999997</v>
      </c>
      <c r="G33" s="454">
        <v>0.27</v>
      </c>
      <c r="H33" s="454"/>
      <c r="I33" s="456">
        <v>301.64399999999995</v>
      </c>
      <c r="J33" s="450">
        <f t="shared" si="1"/>
        <v>1.2</v>
      </c>
      <c r="K33" s="461"/>
      <c r="L33" s="461"/>
      <c r="M33" s="461">
        <v>1.2</v>
      </c>
      <c r="N33" s="461"/>
      <c r="O33" s="457"/>
      <c r="P33" s="545">
        <v>110</v>
      </c>
    </row>
    <row r="34" spans="1:16" ht="19.5" customHeight="1">
      <c r="A34" s="459">
        <v>29</v>
      </c>
      <c r="B34" s="460" t="s">
        <v>408</v>
      </c>
      <c r="C34" s="447">
        <f t="shared" si="0"/>
        <v>2.7</v>
      </c>
      <c r="D34" s="448"/>
      <c r="E34" s="448"/>
      <c r="F34" s="448">
        <v>2.7</v>
      </c>
      <c r="G34" s="448"/>
      <c r="H34" s="448"/>
      <c r="I34" s="449">
        <v>301.644</v>
      </c>
      <c r="J34" s="450">
        <f t="shared" si="1"/>
        <v>0.1</v>
      </c>
      <c r="K34" s="622"/>
      <c r="L34" s="622"/>
      <c r="M34" s="622">
        <v>0.1</v>
      </c>
      <c r="N34" s="622"/>
      <c r="O34" s="295"/>
      <c r="P34" s="545">
        <v>110</v>
      </c>
    </row>
    <row r="35" spans="1:16" s="458" customFormat="1" ht="19.5" customHeight="1">
      <c r="A35" s="459">
        <v>30</v>
      </c>
      <c r="B35" s="460" t="s">
        <v>409</v>
      </c>
      <c r="C35" s="447">
        <f t="shared" si="0"/>
        <v>3.56</v>
      </c>
      <c r="D35" s="448"/>
      <c r="E35" s="448">
        <v>0.25</v>
      </c>
      <c r="F35" s="448">
        <f>2.14-0.5</f>
        <v>1.6400000000000001</v>
      </c>
      <c r="G35" s="448">
        <v>1.67</v>
      </c>
      <c r="H35" s="448"/>
      <c r="I35" s="449">
        <v>413.0532</v>
      </c>
      <c r="J35" s="450">
        <f t="shared" si="1"/>
        <v>0.21</v>
      </c>
      <c r="K35" s="622"/>
      <c r="L35" s="622"/>
      <c r="M35" s="622">
        <v>0.21</v>
      </c>
      <c r="N35" s="622"/>
      <c r="O35" s="457"/>
      <c r="P35" s="545">
        <v>150</v>
      </c>
    </row>
    <row r="36" spans="1:16" ht="15.75">
      <c r="A36" s="468"/>
      <c r="B36" s="469" t="s">
        <v>338</v>
      </c>
      <c r="C36" s="470">
        <f aca="true" t="shared" si="2" ref="C36:H36">SUM(C32:C35)</f>
        <v>11.368</v>
      </c>
      <c r="D36" s="471">
        <f t="shared" si="2"/>
        <v>0</v>
      </c>
      <c r="E36" s="471">
        <f t="shared" si="2"/>
        <v>0.55</v>
      </c>
      <c r="F36" s="471">
        <f t="shared" si="2"/>
        <v>8.677999999999999</v>
      </c>
      <c r="G36" s="471">
        <f t="shared" si="2"/>
        <v>2.14</v>
      </c>
      <c r="H36" s="471">
        <f t="shared" si="2"/>
        <v>0</v>
      </c>
      <c r="I36" s="472">
        <v>12739.306860000002</v>
      </c>
      <c r="J36" s="473">
        <f aca="true" t="shared" si="3" ref="J36:O36">SUM(J6:J35)</f>
        <v>24.522000000000006</v>
      </c>
      <c r="K36" s="473">
        <f t="shared" si="3"/>
        <v>0.15</v>
      </c>
      <c r="L36" s="473">
        <f t="shared" si="3"/>
        <v>2.117</v>
      </c>
      <c r="M36" s="473">
        <f t="shared" si="3"/>
        <v>20.985000000000003</v>
      </c>
      <c r="N36" s="473">
        <f t="shared" si="3"/>
        <v>1.27</v>
      </c>
      <c r="O36" s="473">
        <f t="shared" si="3"/>
        <v>0</v>
      </c>
      <c r="P36" s="473">
        <v>3771</v>
      </c>
    </row>
    <row r="37" spans="1:8" ht="23.25" customHeight="1" hidden="1">
      <c r="A37" s="350"/>
      <c r="B37" s="351" t="s">
        <v>410</v>
      </c>
      <c r="C37" s="351"/>
      <c r="D37" s="351"/>
      <c r="E37" s="351"/>
      <c r="F37" s="351"/>
      <c r="G37" s="351"/>
      <c r="H37" s="351"/>
    </row>
    <row r="38" ht="18.75" customHeight="1" hidden="1">
      <c r="B38" s="474" t="s">
        <v>411</v>
      </c>
    </row>
    <row r="39" spans="2:4" ht="17.25" customHeight="1" hidden="1">
      <c r="B39" s="474" t="s">
        <v>412</v>
      </c>
      <c r="D39" s="475"/>
    </row>
  </sheetData>
  <sheetProtection/>
  <mergeCells count="10">
    <mergeCell ref="P4:P5"/>
    <mergeCell ref="B1:I1"/>
    <mergeCell ref="K1:O1"/>
    <mergeCell ref="B2:I2"/>
    <mergeCell ref="K2:O2"/>
    <mergeCell ref="A4:A5"/>
    <mergeCell ref="B4:B5"/>
    <mergeCell ref="C4:H4"/>
    <mergeCell ref="I4:I5"/>
    <mergeCell ref="J4:O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Q15"/>
  <sheetViews>
    <sheetView zoomScalePageLayoutView="0" workbookViewId="0" topLeftCell="A1">
      <selection activeCell="M10" sqref="M10"/>
    </sheetView>
  </sheetViews>
  <sheetFormatPr defaultColWidth="9.00390625" defaultRowHeight="15.75"/>
  <cols>
    <col min="1" max="1" width="4.375" style="73" customWidth="1"/>
    <col min="2" max="2" width="20.375" style="73" customWidth="1"/>
    <col min="3" max="3" width="6.50390625" style="73" customWidth="1"/>
    <col min="4" max="4" width="6.25390625" style="73" customWidth="1"/>
    <col min="5" max="5" width="6.375" style="73" customWidth="1"/>
    <col min="6" max="6" width="7.125" style="73" customWidth="1"/>
    <col min="7" max="7" width="6.625" style="73" customWidth="1"/>
    <col min="8" max="8" width="8.50390625" style="73" customWidth="1"/>
    <col min="9" max="9" width="10.625" style="73" customWidth="1"/>
    <col min="10" max="15" width="9.00390625" style="73" customWidth="1"/>
    <col min="16" max="16" width="10.125" style="445" customWidth="1"/>
    <col min="17" max="16384" width="9.00390625" style="73" customWidth="1"/>
  </cols>
  <sheetData>
    <row r="1" spans="1:15" s="443" customFormat="1" ht="15">
      <c r="A1" s="442"/>
      <c r="B1" s="799" t="s">
        <v>192</v>
      </c>
      <c r="C1" s="799"/>
      <c r="D1" s="799"/>
      <c r="E1" s="799"/>
      <c r="F1" s="799"/>
      <c r="G1" s="799"/>
      <c r="H1" s="799"/>
      <c r="I1" s="799"/>
      <c r="K1" s="799" t="s">
        <v>1</v>
      </c>
      <c r="L1" s="799"/>
      <c r="M1" s="799"/>
      <c r="N1" s="799"/>
      <c r="O1" s="799"/>
    </row>
    <row r="2" spans="1:15" s="443" customFormat="1" ht="15.75">
      <c r="A2" s="442"/>
      <c r="B2" s="799" t="s">
        <v>450</v>
      </c>
      <c r="C2" s="799"/>
      <c r="D2" s="799"/>
      <c r="E2" s="799"/>
      <c r="F2" s="799"/>
      <c r="G2" s="799"/>
      <c r="H2" s="799"/>
      <c r="I2" s="799"/>
      <c r="K2" s="800" t="s">
        <v>101</v>
      </c>
      <c r="L2" s="800"/>
      <c r="M2" s="800"/>
      <c r="N2" s="800"/>
      <c r="O2" s="800"/>
    </row>
    <row r="3" spans="1:9" ht="23.25" customHeight="1">
      <c r="A3" s="444"/>
      <c r="B3" s="444"/>
      <c r="C3" s="444"/>
      <c r="D3" s="444"/>
      <c r="E3" s="444"/>
      <c r="F3" s="444"/>
      <c r="G3" s="444"/>
      <c r="H3" s="444"/>
      <c r="I3" s="444"/>
    </row>
    <row r="4" spans="1:16" ht="24" customHeight="1">
      <c r="A4" s="804" t="s">
        <v>5</v>
      </c>
      <c r="B4" s="803" t="s">
        <v>102</v>
      </c>
      <c r="C4" s="804" t="s">
        <v>374</v>
      </c>
      <c r="D4" s="804"/>
      <c r="E4" s="804"/>
      <c r="F4" s="804"/>
      <c r="G4" s="804"/>
      <c r="H4" s="804"/>
      <c r="I4" s="803" t="s">
        <v>375</v>
      </c>
      <c r="J4" s="804" t="s">
        <v>462</v>
      </c>
      <c r="K4" s="804"/>
      <c r="L4" s="804"/>
      <c r="M4" s="804"/>
      <c r="N4" s="804"/>
      <c r="O4" s="804"/>
      <c r="P4" s="803" t="s">
        <v>457</v>
      </c>
    </row>
    <row r="5" spans="1:16" ht="103.5" customHeight="1">
      <c r="A5" s="804"/>
      <c r="B5" s="803"/>
      <c r="C5" s="527" t="s">
        <v>376</v>
      </c>
      <c r="D5" s="527" t="s">
        <v>268</v>
      </c>
      <c r="E5" s="527" t="s">
        <v>377</v>
      </c>
      <c r="F5" s="527" t="s">
        <v>14</v>
      </c>
      <c r="G5" s="527" t="s">
        <v>378</v>
      </c>
      <c r="H5" s="527" t="s">
        <v>379</v>
      </c>
      <c r="I5" s="803"/>
      <c r="J5" s="527" t="s">
        <v>376</v>
      </c>
      <c r="K5" s="527" t="s">
        <v>268</v>
      </c>
      <c r="L5" s="527" t="s">
        <v>377</v>
      </c>
      <c r="M5" s="527" t="s">
        <v>14</v>
      </c>
      <c r="N5" s="527" t="s">
        <v>378</v>
      </c>
      <c r="O5" s="527" t="s">
        <v>379</v>
      </c>
      <c r="P5" s="803"/>
    </row>
    <row r="6" spans="1:16" ht="19.5" customHeight="1">
      <c r="A6" s="521">
        <v>1</v>
      </c>
      <c r="B6" s="522" t="s">
        <v>446</v>
      </c>
      <c r="C6" s="523">
        <f aca="true" t="shared" si="0" ref="C6:C11">SUM(D6:H6)</f>
        <v>4.64</v>
      </c>
      <c r="D6" s="524"/>
      <c r="E6" s="524">
        <v>2.34</v>
      </c>
      <c r="F6" s="524"/>
      <c r="G6" s="524">
        <v>2.3</v>
      </c>
      <c r="H6" s="524"/>
      <c r="I6" s="525">
        <f aca="true" t="shared" si="1" ref="I6:I11">+E6*173.04+(F6+G6)*111.72+H6*127.68</f>
        <v>661.8696</v>
      </c>
      <c r="J6" s="450">
        <f aca="true" t="shared" si="2" ref="J6:J11">SUM(K6:O6)</f>
        <v>0</v>
      </c>
      <c r="K6" s="290"/>
      <c r="L6" s="290"/>
      <c r="M6" s="290"/>
      <c r="N6" s="290"/>
      <c r="O6" s="290"/>
      <c r="P6" s="526"/>
    </row>
    <row r="7" spans="1:16" s="458" customFormat="1" ht="19.5" customHeight="1">
      <c r="A7" s="451">
        <f>A6+1</f>
        <v>2</v>
      </c>
      <c r="B7" s="396" t="s">
        <v>444</v>
      </c>
      <c r="C7" s="453">
        <f t="shared" si="0"/>
        <v>6.51</v>
      </c>
      <c r="D7" s="454"/>
      <c r="E7" s="454">
        <v>3.15</v>
      </c>
      <c r="F7" s="455">
        <v>0.67</v>
      </c>
      <c r="G7" s="454">
        <v>2.09</v>
      </c>
      <c r="H7" s="454">
        <v>0.6</v>
      </c>
      <c r="I7" s="449">
        <f t="shared" si="1"/>
        <v>930.0311999999999</v>
      </c>
      <c r="J7" s="450">
        <f t="shared" si="2"/>
        <v>0</v>
      </c>
      <c r="K7" s="457"/>
      <c r="L7" s="457"/>
      <c r="M7" s="457"/>
      <c r="N7" s="546"/>
      <c r="O7" s="457"/>
      <c r="P7" s="589">
        <v>96</v>
      </c>
    </row>
    <row r="8" spans="1:17" ht="19.5" customHeight="1">
      <c r="A8" s="459">
        <f>A7+1</f>
        <v>3</v>
      </c>
      <c r="B8" s="396" t="s">
        <v>445</v>
      </c>
      <c r="C8" s="447">
        <f t="shared" si="0"/>
        <v>11.6</v>
      </c>
      <c r="D8" s="448"/>
      <c r="E8" s="448">
        <v>5</v>
      </c>
      <c r="F8" s="448">
        <v>1</v>
      </c>
      <c r="G8" s="448">
        <v>5.6</v>
      </c>
      <c r="H8" s="448"/>
      <c r="I8" s="449">
        <f t="shared" si="1"/>
        <v>1602.552</v>
      </c>
      <c r="J8" s="450">
        <f t="shared" si="2"/>
        <v>0.4</v>
      </c>
      <c r="K8" s="461"/>
      <c r="L8" s="461"/>
      <c r="M8" s="461"/>
      <c r="N8" s="548">
        <v>0.4</v>
      </c>
      <c r="O8" s="461"/>
      <c r="P8" s="589">
        <v>48</v>
      </c>
      <c r="Q8" s="73">
        <v>2</v>
      </c>
    </row>
    <row r="9" spans="1:16" s="458" customFormat="1" ht="19.5" customHeight="1">
      <c r="A9" s="459">
        <f>A8+1</f>
        <v>4</v>
      </c>
      <c r="B9" s="396" t="s">
        <v>447</v>
      </c>
      <c r="C9" s="447">
        <f t="shared" si="0"/>
        <v>2.3</v>
      </c>
      <c r="D9" s="448"/>
      <c r="E9" s="448">
        <v>0.3</v>
      </c>
      <c r="F9" s="448">
        <v>1</v>
      </c>
      <c r="G9" s="448">
        <v>1</v>
      </c>
      <c r="H9" s="448"/>
      <c r="I9" s="449">
        <f t="shared" si="1"/>
        <v>275.352</v>
      </c>
      <c r="J9" s="450">
        <f t="shared" si="2"/>
        <v>0</v>
      </c>
      <c r="K9" s="457"/>
      <c r="L9" s="457"/>
      <c r="M9" s="546"/>
      <c r="O9" s="457"/>
      <c r="P9" s="547"/>
    </row>
    <row r="10" spans="1:16" ht="19.5" customHeight="1">
      <c r="A10" s="459">
        <f>A9+1</f>
        <v>5</v>
      </c>
      <c r="B10" s="396" t="s">
        <v>448</v>
      </c>
      <c r="C10" s="447">
        <f t="shared" si="0"/>
        <v>3.5</v>
      </c>
      <c r="D10" s="448"/>
      <c r="E10" s="448">
        <v>2.5</v>
      </c>
      <c r="F10" s="448"/>
      <c r="G10" s="448">
        <v>1</v>
      </c>
      <c r="H10" s="448"/>
      <c r="I10" s="449">
        <f t="shared" si="1"/>
        <v>544.3199999999999</v>
      </c>
      <c r="J10" s="450">
        <f t="shared" si="2"/>
        <v>0</v>
      </c>
      <c r="K10" s="461"/>
      <c r="L10" s="461"/>
      <c r="M10" s="461"/>
      <c r="N10" s="461"/>
      <c r="O10" s="461"/>
      <c r="P10" s="462"/>
    </row>
    <row r="11" spans="1:16" ht="19.5" customHeight="1">
      <c r="A11" s="459">
        <f>A10+1</f>
        <v>6</v>
      </c>
      <c r="B11" s="396" t="s">
        <v>449</v>
      </c>
      <c r="C11" s="447">
        <f t="shared" si="0"/>
        <v>2.5</v>
      </c>
      <c r="D11" s="448"/>
      <c r="E11" s="448">
        <v>0.5</v>
      </c>
      <c r="F11" s="448"/>
      <c r="G11" s="448">
        <v>2</v>
      </c>
      <c r="H11" s="448"/>
      <c r="I11" s="449">
        <f t="shared" si="1"/>
        <v>309.96</v>
      </c>
      <c r="J11" s="450">
        <f t="shared" si="2"/>
        <v>0</v>
      </c>
      <c r="K11" s="461"/>
      <c r="L11" s="461"/>
      <c r="M11" s="461"/>
      <c r="N11" s="461"/>
      <c r="O11" s="461"/>
      <c r="P11" s="462"/>
    </row>
    <row r="12" spans="1:16" ht="15.75">
      <c r="A12" s="468"/>
      <c r="B12" s="469" t="s">
        <v>338</v>
      </c>
      <c r="C12" s="470">
        <f aca="true" t="shared" si="3" ref="C12:P12">SUM(C6:C11)</f>
        <v>31.05</v>
      </c>
      <c r="D12" s="471">
        <f t="shared" si="3"/>
        <v>0</v>
      </c>
      <c r="E12" s="471">
        <f t="shared" si="3"/>
        <v>13.790000000000001</v>
      </c>
      <c r="F12" s="471">
        <f t="shared" si="3"/>
        <v>2.67</v>
      </c>
      <c r="G12" s="471">
        <f t="shared" si="3"/>
        <v>13.989999999999998</v>
      </c>
      <c r="H12" s="471">
        <f t="shared" si="3"/>
        <v>0.6</v>
      </c>
      <c r="I12" s="108">
        <f t="shared" si="3"/>
        <v>4324.0848</v>
      </c>
      <c r="J12" s="108">
        <f t="shared" si="3"/>
        <v>0.4</v>
      </c>
      <c r="K12" s="108">
        <f t="shared" si="3"/>
        <v>0</v>
      </c>
      <c r="L12" s="108">
        <f t="shared" si="3"/>
        <v>0</v>
      </c>
      <c r="M12" s="108">
        <f t="shared" si="3"/>
        <v>0</v>
      </c>
      <c r="N12" s="108">
        <f t="shared" si="3"/>
        <v>0.4</v>
      </c>
      <c r="O12" s="108">
        <f t="shared" si="3"/>
        <v>0</v>
      </c>
      <c r="P12" s="108">
        <f t="shared" si="3"/>
        <v>144</v>
      </c>
    </row>
    <row r="13" spans="1:8" ht="23.25" customHeight="1" hidden="1">
      <c r="A13" s="350"/>
      <c r="B13" s="351" t="s">
        <v>410</v>
      </c>
      <c r="C13" s="351"/>
      <c r="D13" s="351"/>
      <c r="E13" s="351"/>
      <c r="F13" s="351"/>
      <c r="G13" s="351"/>
      <c r="H13" s="351"/>
    </row>
    <row r="14" ht="18.75" customHeight="1" hidden="1">
      <c r="B14" s="474" t="s">
        <v>411</v>
      </c>
    </row>
    <row r="15" spans="2:4" ht="17.25" customHeight="1" hidden="1">
      <c r="B15" s="474" t="s">
        <v>412</v>
      </c>
      <c r="D15" s="475"/>
    </row>
  </sheetData>
  <sheetProtection/>
  <mergeCells count="10">
    <mergeCell ref="P4:P5"/>
    <mergeCell ref="B1:I1"/>
    <mergeCell ref="K1:O1"/>
    <mergeCell ref="B2:I2"/>
    <mergeCell ref="K2:O2"/>
    <mergeCell ref="A4:A5"/>
    <mergeCell ref="B4:B5"/>
    <mergeCell ref="C4:H4"/>
    <mergeCell ref="I4:I5"/>
    <mergeCell ref="J4:O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R41"/>
  <sheetViews>
    <sheetView zoomScalePageLayoutView="0" workbookViewId="0" topLeftCell="A1">
      <selection activeCell="K33" sqref="K33"/>
    </sheetView>
  </sheetViews>
  <sheetFormatPr defaultColWidth="9.00390625" defaultRowHeight="15.75"/>
  <cols>
    <col min="1" max="1" width="4.25390625" style="406" customWidth="1"/>
    <col min="2" max="2" width="19.75390625" style="404" customWidth="1"/>
    <col min="3" max="3" width="7.00390625" style="404" customWidth="1"/>
    <col min="4" max="4" width="6.50390625" style="404" customWidth="1"/>
    <col min="5" max="5" width="6.375" style="404" customWidth="1"/>
    <col min="6" max="6" width="7.625" style="404" customWidth="1"/>
    <col min="7" max="8" width="7.50390625" style="404" customWidth="1"/>
    <col min="9" max="9" width="9.25390625" style="404" customWidth="1"/>
    <col min="10" max="10" width="6.25390625" style="404" customWidth="1"/>
    <col min="11" max="11" width="6.375" style="404" customWidth="1"/>
    <col min="12" max="12" width="6.625" style="404" customWidth="1"/>
    <col min="13" max="13" width="7.75390625" style="404" customWidth="1"/>
    <col min="14" max="15" width="7.625" style="404" customWidth="1"/>
    <col min="16" max="16" width="7.25390625" style="406" customWidth="1"/>
    <col min="17" max="17" width="7.25390625" style="406" hidden="1" customWidth="1"/>
    <col min="18" max="18" width="8.25390625" style="404" customWidth="1"/>
    <col min="19" max="16384" width="9.00390625" style="404" customWidth="1"/>
  </cols>
  <sheetData>
    <row r="1" spans="1:18" ht="15.75">
      <c r="A1" s="670" t="s">
        <v>0</v>
      </c>
      <c r="B1" s="670"/>
      <c r="C1" s="670"/>
      <c r="D1" s="670"/>
      <c r="E1" s="670"/>
      <c r="F1" s="670"/>
      <c r="G1" s="670"/>
      <c r="H1" s="670"/>
      <c r="I1" s="670"/>
      <c r="J1" s="670"/>
      <c r="K1" s="403"/>
      <c r="L1" s="670" t="s">
        <v>1</v>
      </c>
      <c r="M1" s="670"/>
      <c r="N1" s="670"/>
      <c r="O1" s="670"/>
      <c r="P1" s="670"/>
      <c r="Q1" s="670"/>
      <c r="R1" s="670"/>
    </row>
    <row r="2" spans="1:18" ht="15.75">
      <c r="A2" s="670" t="s">
        <v>2</v>
      </c>
      <c r="B2" s="670"/>
      <c r="C2" s="670"/>
      <c r="D2" s="670"/>
      <c r="E2" s="670"/>
      <c r="F2" s="670"/>
      <c r="G2" s="670"/>
      <c r="H2" s="670"/>
      <c r="I2" s="670"/>
      <c r="J2" s="670"/>
      <c r="K2" s="403"/>
      <c r="L2" s="405"/>
      <c r="M2" s="405"/>
      <c r="N2" s="405" t="s">
        <v>3</v>
      </c>
      <c r="O2" s="405"/>
      <c r="P2" s="405"/>
      <c r="Q2" s="405"/>
      <c r="R2" s="405"/>
    </row>
    <row r="3" ht="9" customHeight="1"/>
    <row r="4" ht="12.75" customHeight="1"/>
    <row r="5" spans="1:18" ht="21.75" customHeight="1" hidden="1">
      <c r="A5" s="671" t="s">
        <v>40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</row>
    <row r="6" spans="1:18" ht="17.25" customHeight="1" hidden="1">
      <c r="A6" s="672" t="s">
        <v>4</v>
      </c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</row>
    <row r="7" ht="11.25" customHeight="1"/>
    <row r="8" spans="1:18" s="407" customFormat="1" ht="32.25" customHeight="1">
      <c r="A8" s="673" t="s">
        <v>5</v>
      </c>
      <c r="B8" s="675" t="s">
        <v>6</v>
      </c>
      <c r="C8" s="677" t="s">
        <v>7</v>
      </c>
      <c r="D8" s="677"/>
      <c r="E8" s="677"/>
      <c r="F8" s="677"/>
      <c r="G8" s="677"/>
      <c r="H8" s="677"/>
      <c r="I8" s="677"/>
      <c r="J8" s="677" t="s">
        <v>462</v>
      </c>
      <c r="K8" s="677"/>
      <c r="L8" s="677"/>
      <c r="M8" s="677"/>
      <c r="N8" s="677"/>
      <c r="O8" s="677"/>
      <c r="P8" s="677"/>
      <c r="Q8" s="679" t="s">
        <v>39</v>
      </c>
      <c r="R8" s="675" t="s">
        <v>8</v>
      </c>
    </row>
    <row r="9" spans="1:18" s="407" customFormat="1" ht="15" customHeight="1">
      <c r="A9" s="674"/>
      <c r="B9" s="676"/>
      <c r="C9" s="676" t="s">
        <v>9</v>
      </c>
      <c r="D9" s="678" t="s">
        <v>10</v>
      </c>
      <c r="E9" s="678"/>
      <c r="F9" s="678"/>
      <c r="G9" s="678"/>
      <c r="H9" s="409"/>
      <c r="I9" s="676" t="s">
        <v>43</v>
      </c>
      <c r="J9" s="676" t="s">
        <v>9</v>
      </c>
      <c r="K9" s="678" t="s">
        <v>10</v>
      </c>
      <c r="L9" s="678"/>
      <c r="M9" s="678"/>
      <c r="N9" s="678"/>
      <c r="O9" s="678"/>
      <c r="P9" s="674" t="s">
        <v>11</v>
      </c>
      <c r="Q9" s="680"/>
      <c r="R9" s="676"/>
    </row>
    <row r="10" spans="1:18" s="407" customFormat="1" ht="65.25" customHeight="1">
      <c r="A10" s="674"/>
      <c r="B10" s="676"/>
      <c r="C10" s="676"/>
      <c r="D10" s="408" t="s">
        <v>12</v>
      </c>
      <c r="E10" s="408" t="s">
        <v>13</v>
      </c>
      <c r="F10" s="408" t="s">
        <v>14</v>
      </c>
      <c r="G10" s="408" t="s">
        <v>15</v>
      </c>
      <c r="H10" s="408"/>
      <c r="I10" s="676"/>
      <c r="J10" s="676"/>
      <c r="K10" s="408" t="s">
        <v>12</v>
      </c>
      <c r="L10" s="408" t="s">
        <v>42</v>
      </c>
      <c r="M10" s="408" t="s">
        <v>14</v>
      </c>
      <c r="N10" s="408" t="s">
        <v>15</v>
      </c>
      <c r="O10" s="408" t="s">
        <v>41</v>
      </c>
      <c r="P10" s="674"/>
      <c r="Q10" s="680"/>
      <c r="R10" s="676"/>
    </row>
    <row r="11" spans="1:18" s="415" customFormat="1" ht="14.25" customHeight="1">
      <c r="A11" s="410">
        <v>1</v>
      </c>
      <c r="B11" s="411" t="s">
        <v>16</v>
      </c>
      <c r="C11" s="412">
        <f>SUM(D11:G11)</f>
        <v>2.9000000000000004</v>
      </c>
      <c r="D11" s="412"/>
      <c r="E11" s="413">
        <v>1.1</v>
      </c>
      <c r="F11" s="413">
        <v>1.1</v>
      </c>
      <c r="G11" s="413">
        <v>0.7</v>
      </c>
      <c r="H11" s="413"/>
      <c r="I11" s="413">
        <f>+D11*194.67+E11*173.04+(F11+G11)*111.72</f>
        <v>391.44</v>
      </c>
      <c r="J11" s="412">
        <f aca="true" t="shared" si="0" ref="J11:J30">SUM(K11:O11)</f>
        <v>0.742</v>
      </c>
      <c r="K11" s="412"/>
      <c r="L11" s="413">
        <v>0.15</v>
      </c>
      <c r="M11" s="413">
        <v>0.439</v>
      </c>
      <c r="N11" s="413">
        <v>0.153</v>
      </c>
      <c r="O11" s="413"/>
      <c r="P11" s="420">
        <v>84</v>
      </c>
      <c r="Q11" s="414"/>
      <c r="R11" s="412"/>
    </row>
    <row r="12" spans="1:18" s="417" customFormat="1" ht="14.25" customHeight="1">
      <c r="A12" s="410">
        <v>2</v>
      </c>
      <c r="B12" s="411" t="s">
        <v>17</v>
      </c>
      <c r="C12" s="412">
        <f aca="true" t="shared" si="1" ref="C12:C32">SUM(D12:G12)</f>
        <v>5.4</v>
      </c>
      <c r="D12" s="412"/>
      <c r="E12" s="413">
        <v>0.9</v>
      </c>
      <c r="F12" s="413">
        <v>2</v>
      </c>
      <c r="G12" s="416">
        <v>2.5</v>
      </c>
      <c r="H12" s="416"/>
      <c r="I12" s="413">
        <f aca="true" t="shared" si="2" ref="I12:I32">+D12*194.67+E12*173.04+(F12+G12)*111.72</f>
        <v>658.476</v>
      </c>
      <c r="J12" s="412">
        <f t="shared" si="0"/>
        <v>0.85</v>
      </c>
      <c r="K12" s="412"/>
      <c r="L12" s="416">
        <v>0.15</v>
      </c>
      <c r="M12" s="416">
        <v>0.7</v>
      </c>
      <c r="N12" s="416"/>
      <c r="O12" s="416"/>
      <c r="P12" s="420">
        <v>120</v>
      </c>
      <c r="Q12" s="414"/>
      <c r="R12" s="412"/>
    </row>
    <row r="13" spans="1:18" s="417" customFormat="1" ht="14.25" customHeight="1">
      <c r="A13" s="410">
        <v>3</v>
      </c>
      <c r="B13" s="411" t="s">
        <v>18</v>
      </c>
      <c r="C13" s="412">
        <f t="shared" si="1"/>
        <v>7.93</v>
      </c>
      <c r="D13" s="412"/>
      <c r="E13" s="413">
        <v>1.1</v>
      </c>
      <c r="F13" s="413">
        <v>1.83</v>
      </c>
      <c r="G13" s="416">
        <v>5</v>
      </c>
      <c r="H13" s="416"/>
      <c r="I13" s="413">
        <f t="shared" si="2"/>
        <v>953.3915999999999</v>
      </c>
      <c r="J13" s="412">
        <f t="shared" si="0"/>
        <v>1.415</v>
      </c>
      <c r="K13" s="412"/>
      <c r="L13" s="416"/>
      <c r="M13" s="416">
        <v>1.415</v>
      </c>
      <c r="N13" s="416"/>
      <c r="O13" s="416"/>
      <c r="P13" s="420">
        <v>247</v>
      </c>
      <c r="Q13" s="414"/>
      <c r="R13" s="412"/>
    </row>
    <row r="14" spans="1:18" s="417" customFormat="1" ht="14.25" customHeight="1">
      <c r="A14" s="410">
        <v>4</v>
      </c>
      <c r="B14" s="411" t="s">
        <v>19</v>
      </c>
      <c r="C14" s="412">
        <f t="shared" si="1"/>
        <v>2.5</v>
      </c>
      <c r="D14" s="412"/>
      <c r="E14" s="413"/>
      <c r="F14" s="413"/>
      <c r="G14" s="416">
        <v>2.5</v>
      </c>
      <c r="H14" s="416"/>
      <c r="I14" s="413">
        <f t="shared" si="2"/>
        <v>279.3</v>
      </c>
      <c r="J14" s="412">
        <f t="shared" si="0"/>
        <v>0</v>
      </c>
      <c r="K14" s="412"/>
      <c r="L14" s="416"/>
      <c r="M14" s="416"/>
      <c r="N14" s="416"/>
      <c r="O14" s="416"/>
      <c r="P14" s="420"/>
      <c r="Q14" s="414"/>
      <c r="R14" s="412"/>
    </row>
    <row r="15" spans="1:18" s="417" customFormat="1" ht="14.25" customHeight="1">
      <c r="A15" s="410">
        <v>5</v>
      </c>
      <c r="B15" s="411" t="s">
        <v>20</v>
      </c>
      <c r="C15" s="412">
        <f t="shared" si="1"/>
        <v>3</v>
      </c>
      <c r="D15" s="412"/>
      <c r="E15" s="413"/>
      <c r="F15" s="413">
        <v>2</v>
      </c>
      <c r="G15" s="416">
        <v>1</v>
      </c>
      <c r="H15" s="416"/>
      <c r="I15" s="413">
        <f t="shared" si="2"/>
        <v>335.15999999999997</v>
      </c>
      <c r="J15" s="412">
        <f t="shared" si="0"/>
        <v>3.1</v>
      </c>
      <c r="K15" s="412"/>
      <c r="L15" s="416"/>
      <c r="M15" s="416">
        <v>2.9</v>
      </c>
      <c r="N15" s="416">
        <v>0.2</v>
      </c>
      <c r="O15" s="416"/>
      <c r="P15" s="420">
        <v>328</v>
      </c>
      <c r="Q15" s="414"/>
      <c r="R15" s="412"/>
    </row>
    <row r="16" spans="1:18" s="417" customFormat="1" ht="14.25" customHeight="1">
      <c r="A16" s="410">
        <v>6</v>
      </c>
      <c r="B16" s="418" t="s">
        <v>21</v>
      </c>
      <c r="C16" s="412">
        <f t="shared" si="1"/>
        <v>3.2</v>
      </c>
      <c r="D16" s="412"/>
      <c r="E16" s="419"/>
      <c r="F16" s="413">
        <v>1</v>
      </c>
      <c r="G16" s="416">
        <v>2.2</v>
      </c>
      <c r="H16" s="416"/>
      <c r="I16" s="413">
        <f t="shared" si="2"/>
        <v>357.504</v>
      </c>
      <c r="J16" s="412">
        <f t="shared" si="0"/>
        <v>0.55</v>
      </c>
      <c r="K16" s="412"/>
      <c r="L16" s="416"/>
      <c r="M16" s="416"/>
      <c r="N16" s="416">
        <v>0.55</v>
      </c>
      <c r="O16" s="416"/>
      <c r="P16" s="420">
        <v>72</v>
      </c>
      <c r="Q16" s="420"/>
      <c r="R16" s="421"/>
    </row>
    <row r="17" spans="1:18" s="417" customFormat="1" ht="14.25" customHeight="1">
      <c r="A17" s="410">
        <v>7</v>
      </c>
      <c r="B17" s="411" t="s">
        <v>22</v>
      </c>
      <c r="C17" s="412">
        <f t="shared" si="1"/>
        <v>6</v>
      </c>
      <c r="D17" s="412"/>
      <c r="E17" s="413">
        <v>0.5</v>
      </c>
      <c r="F17" s="413">
        <v>2.5</v>
      </c>
      <c r="G17" s="416">
        <v>3</v>
      </c>
      <c r="H17" s="416"/>
      <c r="I17" s="413">
        <f t="shared" si="2"/>
        <v>700.98</v>
      </c>
      <c r="J17" s="412">
        <f t="shared" si="0"/>
        <v>1.6</v>
      </c>
      <c r="K17" s="412"/>
      <c r="L17" s="416">
        <v>0.4</v>
      </c>
      <c r="M17" s="416">
        <v>0.2</v>
      </c>
      <c r="N17" s="416">
        <v>1</v>
      </c>
      <c r="O17" s="416"/>
      <c r="P17" s="420">
        <v>256</v>
      </c>
      <c r="Q17" s="414">
        <v>0.2</v>
      </c>
      <c r="R17" s="412"/>
    </row>
    <row r="18" spans="1:18" s="417" customFormat="1" ht="14.25" customHeight="1">
      <c r="A18" s="410">
        <v>8</v>
      </c>
      <c r="B18" s="411" t="s">
        <v>23</v>
      </c>
      <c r="C18" s="412">
        <f t="shared" si="1"/>
        <v>2.6999999999999997</v>
      </c>
      <c r="D18" s="412"/>
      <c r="E18" s="413">
        <v>2.3</v>
      </c>
      <c r="F18" s="413">
        <v>0.4</v>
      </c>
      <c r="G18" s="416"/>
      <c r="H18" s="416"/>
      <c r="I18" s="413">
        <f t="shared" si="2"/>
        <v>442.67999999999995</v>
      </c>
      <c r="J18" s="412">
        <f t="shared" si="0"/>
        <v>0.825</v>
      </c>
      <c r="K18" s="412"/>
      <c r="L18" s="416">
        <v>0.76</v>
      </c>
      <c r="M18" s="416">
        <v>0.065</v>
      </c>
      <c r="N18" s="416"/>
      <c r="O18" s="416"/>
      <c r="P18" s="420">
        <v>80</v>
      </c>
      <c r="Q18" s="414"/>
      <c r="R18" s="412"/>
    </row>
    <row r="19" spans="1:18" s="417" customFormat="1" ht="14.25" customHeight="1">
      <c r="A19" s="410">
        <v>9</v>
      </c>
      <c r="B19" s="411" t="s">
        <v>24</v>
      </c>
      <c r="C19" s="412">
        <f t="shared" si="1"/>
        <v>5.199999999999999</v>
      </c>
      <c r="D19" s="412">
        <v>0.2</v>
      </c>
      <c r="E19" s="413">
        <v>3.9</v>
      </c>
      <c r="F19" s="413">
        <v>1.1</v>
      </c>
      <c r="G19" s="416"/>
      <c r="H19" s="416"/>
      <c r="I19" s="413">
        <f t="shared" si="2"/>
        <v>836.682</v>
      </c>
      <c r="J19" s="412">
        <f t="shared" si="0"/>
        <v>0.7</v>
      </c>
      <c r="K19" s="412"/>
      <c r="L19" s="416">
        <v>0.7</v>
      </c>
      <c r="M19" s="416"/>
      <c r="N19" s="416"/>
      <c r="O19" s="416"/>
      <c r="P19" s="420">
        <v>152</v>
      </c>
      <c r="Q19" s="414"/>
      <c r="R19" s="412"/>
    </row>
    <row r="20" spans="1:18" s="417" customFormat="1" ht="14.25" customHeight="1">
      <c r="A20" s="410">
        <v>10</v>
      </c>
      <c r="B20" s="411" t="s">
        <v>25</v>
      </c>
      <c r="C20" s="412">
        <f t="shared" si="1"/>
        <v>7.4</v>
      </c>
      <c r="D20" s="412"/>
      <c r="E20" s="413"/>
      <c r="F20" s="413">
        <v>4.7</v>
      </c>
      <c r="G20" s="416">
        <v>2.7</v>
      </c>
      <c r="H20" s="416"/>
      <c r="I20" s="413">
        <f t="shared" si="2"/>
        <v>826.7280000000001</v>
      </c>
      <c r="J20" s="412">
        <f t="shared" si="0"/>
        <v>0</v>
      </c>
      <c r="K20" s="412"/>
      <c r="L20" s="416"/>
      <c r="M20" s="416"/>
      <c r="N20" s="416"/>
      <c r="O20" s="416"/>
      <c r="P20" s="420"/>
      <c r="Q20" s="414"/>
      <c r="R20" s="412"/>
    </row>
    <row r="21" spans="1:18" s="417" customFormat="1" ht="14.25" customHeight="1">
      <c r="A21" s="410">
        <v>11</v>
      </c>
      <c r="B21" s="411" t="s">
        <v>26</v>
      </c>
      <c r="C21" s="412">
        <f t="shared" si="1"/>
        <v>6.5</v>
      </c>
      <c r="D21" s="412">
        <v>0.5</v>
      </c>
      <c r="E21" s="413">
        <v>1.5</v>
      </c>
      <c r="F21" s="413">
        <v>3.8</v>
      </c>
      <c r="G21" s="416">
        <v>0.7</v>
      </c>
      <c r="H21" s="416"/>
      <c r="I21" s="413">
        <f t="shared" si="2"/>
        <v>859.635</v>
      </c>
      <c r="J21" s="412">
        <f t="shared" si="0"/>
        <v>2.62</v>
      </c>
      <c r="K21" s="412"/>
      <c r="L21" s="416">
        <v>0.366</v>
      </c>
      <c r="M21" s="416">
        <v>2.254</v>
      </c>
      <c r="N21" s="416"/>
      <c r="O21" s="416"/>
      <c r="P21" s="420">
        <v>319</v>
      </c>
      <c r="Q21" s="414"/>
      <c r="R21" s="412"/>
    </row>
    <row r="22" spans="1:18" s="417" customFormat="1" ht="14.25" customHeight="1">
      <c r="A22" s="410">
        <v>12</v>
      </c>
      <c r="B22" s="411" t="s">
        <v>27</v>
      </c>
      <c r="C22" s="412">
        <f t="shared" si="1"/>
        <v>3.4</v>
      </c>
      <c r="D22" s="412"/>
      <c r="E22" s="413">
        <v>0.6</v>
      </c>
      <c r="F22" s="413">
        <v>1.3</v>
      </c>
      <c r="G22" s="416">
        <v>1.5</v>
      </c>
      <c r="H22" s="416"/>
      <c r="I22" s="413">
        <f t="shared" si="2"/>
        <v>416.64</v>
      </c>
      <c r="J22" s="412">
        <f t="shared" si="0"/>
        <v>0.2</v>
      </c>
      <c r="K22" s="412"/>
      <c r="L22" s="416"/>
      <c r="M22" s="416">
        <v>0.2</v>
      </c>
      <c r="N22" s="416"/>
      <c r="O22" s="416"/>
      <c r="P22" s="420">
        <v>72</v>
      </c>
      <c r="Q22" s="414"/>
      <c r="R22" s="412"/>
    </row>
    <row r="23" spans="1:18" s="417" customFormat="1" ht="14.25" customHeight="1">
      <c r="A23" s="410">
        <v>13</v>
      </c>
      <c r="B23" s="411" t="s">
        <v>28</v>
      </c>
      <c r="C23" s="412">
        <f t="shared" si="1"/>
        <v>5</v>
      </c>
      <c r="D23" s="412">
        <v>1</v>
      </c>
      <c r="E23" s="413">
        <v>1.3</v>
      </c>
      <c r="F23" s="413">
        <v>2</v>
      </c>
      <c r="G23" s="416">
        <v>0.7</v>
      </c>
      <c r="H23" s="416"/>
      <c r="I23" s="413">
        <f t="shared" si="2"/>
        <v>721.266</v>
      </c>
      <c r="J23" s="412">
        <f t="shared" si="0"/>
        <v>0.6</v>
      </c>
      <c r="K23" s="412"/>
      <c r="L23" s="416"/>
      <c r="M23" s="416">
        <v>0.6</v>
      </c>
      <c r="N23" s="416"/>
      <c r="O23" s="416"/>
      <c r="P23" s="420">
        <v>72</v>
      </c>
      <c r="Q23" s="414"/>
      <c r="R23" s="412"/>
    </row>
    <row r="24" spans="1:18" s="417" customFormat="1" ht="14.25" customHeight="1">
      <c r="A24" s="410">
        <v>14</v>
      </c>
      <c r="B24" s="411" t="s">
        <v>29</v>
      </c>
      <c r="C24" s="412">
        <f t="shared" si="1"/>
        <v>9</v>
      </c>
      <c r="D24" s="412"/>
      <c r="E24" s="413">
        <v>1</v>
      </c>
      <c r="F24" s="413">
        <v>4</v>
      </c>
      <c r="G24" s="413">
        <v>4</v>
      </c>
      <c r="H24" s="413"/>
      <c r="I24" s="413">
        <f t="shared" si="2"/>
        <v>1066.8</v>
      </c>
      <c r="J24" s="412">
        <f t="shared" si="0"/>
        <v>0.5</v>
      </c>
      <c r="K24" s="412"/>
      <c r="L24" s="416"/>
      <c r="M24" s="416">
        <v>0.3</v>
      </c>
      <c r="N24" s="416">
        <v>0.2</v>
      </c>
      <c r="O24" s="416"/>
      <c r="P24" s="420">
        <v>144</v>
      </c>
      <c r="Q24" s="414"/>
      <c r="R24" s="412"/>
    </row>
    <row r="25" spans="1:18" s="417" customFormat="1" ht="14.25" customHeight="1">
      <c r="A25" s="410">
        <v>15</v>
      </c>
      <c r="B25" s="411" t="s">
        <v>30</v>
      </c>
      <c r="C25" s="412">
        <f t="shared" si="1"/>
        <v>4</v>
      </c>
      <c r="D25" s="412">
        <v>0.7</v>
      </c>
      <c r="E25" s="413"/>
      <c r="F25" s="413"/>
      <c r="G25" s="416">
        <v>3.3</v>
      </c>
      <c r="H25" s="416"/>
      <c r="I25" s="413">
        <f t="shared" si="2"/>
        <v>504.94499999999994</v>
      </c>
      <c r="J25" s="412">
        <f t="shared" si="0"/>
        <v>0.94</v>
      </c>
      <c r="K25" s="412"/>
      <c r="L25" s="416"/>
      <c r="M25" s="416"/>
      <c r="N25" s="416">
        <v>0.94</v>
      </c>
      <c r="O25" s="416"/>
      <c r="P25" s="420">
        <v>207</v>
      </c>
      <c r="Q25" s="414">
        <v>1.1</v>
      </c>
      <c r="R25" s="412"/>
    </row>
    <row r="26" spans="1:18" s="417" customFormat="1" ht="14.25" customHeight="1">
      <c r="A26" s="410">
        <v>16</v>
      </c>
      <c r="B26" s="418" t="s">
        <v>31</v>
      </c>
      <c r="C26" s="412">
        <f t="shared" si="1"/>
        <v>1</v>
      </c>
      <c r="D26" s="412"/>
      <c r="E26" s="419"/>
      <c r="F26" s="413">
        <v>1</v>
      </c>
      <c r="G26" s="416"/>
      <c r="H26" s="416"/>
      <c r="I26" s="413">
        <f t="shared" si="2"/>
        <v>111.72</v>
      </c>
      <c r="J26" s="412">
        <f t="shared" si="0"/>
        <v>0</v>
      </c>
      <c r="K26" s="412"/>
      <c r="L26" s="416"/>
      <c r="M26" s="416"/>
      <c r="N26" s="416"/>
      <c r="O26" s="416"/>
      <c r="P26" s="420"/>
      <c r="Q26" s="420"/>
      <c r="R26" s="412"/>
    </row>
    <row r="27" spans="1:18" s="417" customFormat="1" ht="14.25" customHeight="1">
      <c r="A27" s="410">
        <v>17</v>
      </c>
      <c r="B27" s="411" t="s">
        <v>32</v>
      </c>
      <c r="C27" s="412">
        <f t="shared" si="1"/>
        <v>3</v>
      </c>
      <c r="D27" s="412"/>
      <c r="E27" s="413"/>
      <c r="F27" s="413">
        <v>3</v>
      </c>
      <c r="G27" s="416"/>
      <c r="H27" s="416"/>
      <c r="I27" s="413">
        <f t="shared" si="2"/>
        <v>335.15999999999997</v>
      </c>
      <c r="J27" s="412">
        <f t="shared" si="0"/>
        <v>0</v>
      </c>
      <c r="K27" s="412"/>
      <c r="L27" s="416"/>
      <c r="M27" s="416"/>
      <c r="N27" s="416"/>
      <c r="O27" s="416"/>
      <c r="P27" s="420"/>
      <c r="Q27" s="414"/>
      <c r="R27" s="412"/>
    </row>
    <row r="28" spans="1:18" s="417" customFormat="1" ht="14.25" customHeight="1">
      <c r="A28" s="410">
        <v>18</v>
      </c>
      <c r="B28" s="411" t="s">
        <v>33</v>
      </c>
      <c r="C28" s="412">
        <f t="shared" si="1"/>
        <v>2.5</v>
      </c>
      <c r="D28" s="412"/>
      <c r="E28" s="413">
        <v>0.4</v>
      </c>
      <c r="F28" s="413">
        <v>0.4</v>
      </c>
      <c r="G28" s="416">
        <v>1.7</v>
      </c>
      <c r="H28" s="416"/>
      <c r="I28" s="413">
        <f t="shared" si="2"/>
        <v>303.828</v>
      </c>
      <c r="J28" s="412">
        <f t="shared" si="0"/>
        <v>0</v>
      </c>
      <c r="K28" s="412"/>
      <c r="L28" s="416"/>
      <c r="M28" s="416"/>
      <c r="N28" s="416"/>
      <c r="O28" s="416"/>
      <c r="P28" s="420">
        <v>44</v>
      </c>
      <c r="Q28" s="414"/>
      <c r="R28" s="412"/>
    </row>
    <row r="29" spans="1:18" s="417" customFormat="1" ht="14.25" customHeight="1">
      <c r="A29" s="410">
        <v>19</v>
      </c>
      <c r="B29" s="411" t="s">
        <v>34</v>
      </c>
      <c r="C29" s="412">
        <f t="shared" si="1"/>
        <v>4.1</v>
      </c>
      <c r="D29" s="412"/>
      <c r="E29" s="413">
        <v>1.1</v>
      </c>
      <c r="F29" s="413">
        <v>1</v>
      </c>
      <c r="G29" s="416">
        <v>2</v>
      </c>
      <c r="H29" s="416"/>
      <c r="I29" s="413">
        <f t="shared" si="2"/>
        <v>525.5039999999999</v>
      </c>
      <c r="J29" s="412">
        <f t="shared" si="0"/>
        <v>0.2</v>
      </c>
      <c r="K29" s="412"/>
      <c r="L29" s="416"/>
      <c r="M29" s="416"/>
      <c r="N29" s="416">
        <v>0.2</v>
      </c>
      <c r="O29" s="416"/>
      <c r="P29" s="420">
        <v>72</v>
      </c>
      <c r="Q29" s="414"/>
      <c r="R29" s="412"/>
    </row>
    <row r="30" spans="1:18" s="417" customFormat="1" ht="14.25" customHeight="1">
      <c r="A30" s="410">
        <v>20</v>
      </c>
      <c r="B30" s="411" t="s">
        <v>35</v>
      </c>
      <c r="C30" s="412">
        <f t="shared" si="1"/>
        <v>3.6</v>
      </c>
      <c r="D30" s="412">
        <v>0.8</v>
      </c>
      <c r="E30" s="413"/>
      <c r="F30" s="413">
        <v>2.2</v>
      </c>
      <c r="G30" s="416">
        <v>0.6</v>
      </c>
      <c r="H30" s="416"/>
      <c r="I30" s="413">
        <f t="shared" si="2"/>
        <v>468.552</v>
      </c>
      <c r="J30" s="412">
        <f t="shared" si="0"/>
        <v>0.43</v>
      </c>
      <c r="K30" s="412"/>
      <c r="L30" s="416"/>
      <c r="M30" s="416"/>
      <c r="N30" s="416">
        <v>0.43</v>
      </c>
      <c r="O30" s="416"/>
      <c r="P30" s="420">
        <v>48</v>
      </c>
      <c r="Q30" s="414"/>
      <c r="R30" s="412"/>
    </row>
    <row r="31" spans="1:18" s="417" customFormat="1" ht="14.25" customHeight="1">
      <c r="A31" s="410">
        <v>21</v>
      </c>
      <c r="B31" s="411" t="s">
        <v>36</v>
      </c>
      <c r="C31" s="412">
        <f t="shared" si="1"/>
        <v>5</v>
      </c>
      <c r="D31" s="412"/>
      <c r="E31" s="413"/>
      <c r="F31" s="413">
        <v>4</v>
      </c>
      <c r="G31" s="416">
        <v>1</v>
      </c>
      <c r="H31" s="416"/>
      <c r="I31" s="413">
        <f t="shared" si="2"/>
        <v>558.6</v>
      </c>
      <c r="J31" s="412">
        <f>SUM(K31:O31)</f>
        <v>1.5</v>
      </c>
      <c r="K31" s="412"/>
      <c r="L31" s="416"/>
      <c r="M31" s="416">
        <v>1.5</v>
      </c>
      <c r="N31" s="416"/>
      <c r="O31" s="416"/>
      <c r="P31" s="420">
        <v>225</v>
      </c>
      <c r="Q31" s="414"/>
      <c r="R31" s="412"/>
    </row>
    <row r="32" spans="1:18" s="417" customFormat="1" ht="14.25" customHeight="1">
      <c r="A32" s="410">
        <v>22</v>
      </c>
      <c r="B32" s="418" t="s">
        <v>37</v>
      </c>
      <c r="C32" s="412">
        <f t="shared" si="1"/>
        <v>3.5</v>
      </c>
      <c r="D32" s="412"/>
      <c r="E32" s="419"/>
      <c r="F32" s="413">
        <v>1.5</v>
      </c>
      <c r="G32" s="416">
        <v>2</v>
      </c>
      <c r="H32" s="416"/>
      <c r="I32" s="413">
        <f t="shared" si="2"/>
        <v>391.02</v>
      </c>
      <c r="J32" s="412">
        <f>SUM(K32:O32)</f>
        <v>4.34</v>
      </c>
      <c r="K32" s="412"/>
      <c r="L32" s="416"/>
      <c r="M32" s="416">
        <v>3.5</v>
      </c>
      <c r="N32" s="416">
        <v>0.12</v>
      </c>
      <c r="O32" s="416">
        <v>0.72</v>
      </c>
      <c r="P32" s="420">
        <v>430</v>
      </c>
      <c r="Q32" s="420"/>
      <c r="R32" s="422"/>
    </row>
    <row r="33" spans="1:18" s="431" customFormat="1" ht="20.25" customHeight="1">
      <c r="A33" s="423"/>
      <c r="B33" s="424" t="s">
        <v>38</v>
      </c>
      <c r="C33" s="425">
        <f>SUM(E33:G33)</f>
        <v>93.63000000000001</v>
      </c>
      <c r="D33" s="425"/>
      <c r="E33" s="426">
        <f>SUM(E11:E32)</f>
        <v>15.700000000000001</v>
      </c>
      <c r="F33" s="426">
        <f>SUM(F11:F32)</f>
        <v>40.830000000000005</v>
      </c>
      <c r="G33" s="426">
        <f>SUM(G11:G32)</f>
        <v>37.1</v>
      </c>
      <c r="H33" s="426"/>
      <c r="I33" s="427">
        <f>SUM(I11:I32)</f>
        <v>12046.0116</v>
      </c>
      <c r="J33" s="425">
        <f>SUM(J11:J32)</f>
        <v>21.111999999999995</v>
      </c>
      <c r="K33" s="428">
        <v>0</v>
      </c>
      <c r="L33" s="426">
        <f aca="true" t="shared" si="3" ref="L33:Q33">SUM(L11:L32)</f>
        <v>2.5260000000000002</v>
      </c>
      <c r="M33" s="426">
        <f t="shared" si="3"/>
        <v>14.073</v>
      </c>
      <c r="N33" s="426">
        <f t="shared" si="3"/>
        <v>3.7930000000000006</v>
      </c>
      <c r="O33" s="426">
        <f t="shared" si="3"/>
        <v>0.72</v>
      </c>
      <c r="P33" s="429">
        <f t="shared" si="3"/>
        <v>2972</v>
      </c>
      <c r="Q33" s="429">
        <f t="shared" si="3"/>
        <v>1.3</v>
      </c>
      <c r="R33" s="430"/>
    </row>
    <row r="34" ht="4.5" customHeight="1">
      <c r="A34" s="432"/>
    </row>
    <row r="35" ht="15.75" customHeight="1">
      <c r="A35" s="433"/>
    </row>
    <row r="36" spans="1:17" s="415" customFormat="1" ht="15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7"/>
      <c r="P36" s="438"/>
      <c r="Q36" s="438"/>
    </row>
    <row r="37" spans="1:17" s="415" customFormat="1" ht="15">
      <c r="A37" s="434"/>
      <c r="P37" s="438"/>
      <c r="Q37" s="438"/>
    </row>
    <row r="38" spans="1:17" s="415" customFormat="1" ht="15">
      <c r="A38" s="434"/>
      <c r="P38" s="438"/>
      <c r="Q38" s="438"/>
    </row>
    <row r="39" spans="1:17" s="415" customFormat="1" ht="15">
      <c r="A39" s="434"/>
      <c r="P39" s="438"/>
      <c r="Q39" s="438"/>
    </row>
    <row r="40" spans="1:17" s="415" customFormat="1" ht="31.5" customHeight="1">
      <c r="A40" s="434"/>
      <c r="P40" s="438"/>
      <c r="Q40" s="438"/>
    </row>
    <row r="41" spans="3:9" ht="15.75">
      <c r="C41" s="670"/>
      <c r="D41" s="670"/>
      <c r="E41" s="670"/>
      <c r="F41" s="670"/>
      <c r="G41" s="670"/>
      <c r="H41" s="403"/>
      <c r="I41" s="403"/>
    </row>
  </sheetData>
  <sheetProtection/>
  <mergeCells count="18">
    <mergeCell ref="D9:G9"/>
    <mergeCell ref="C41:G41"/>
    <mergeCell ref="Q8:Q10"/>
    <mergeCell ref="C8:I8"/>
    <mergeCell ref="I9:I10"/>
    <mergeCell ref="K9:O9"/>
    <mergeCell ref="J9:J10"/>
    <mergeCell ref="P9:P10"/>
    <mergeCell ref="A1:J1"/>
    <mergeCell ref="A2:J2"/>
    <mergeCell ref="A5:R5"/>
    <mergeCell ref="A6:R6"/>
    <mergeCell ref="L1:R1"/>
    <mergeCell ref="A8:A10"/>
    <mergeCell ref="B8:B10"/>
    <mergeCell ref="J8:P8"/>
    <mergeCell ref="R8:R10"/>
    <mergeCell ref="C9:C10"/>
  </mergeCells>
  <printOptions horizontalCentered="1"/>
  <pageMargins left="0.4724409448818898" right="0.1968503937007874" top="0.53" bottom="0.3937007874015748" header="0.1968503937007874" footer="0.275590551181102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Q135"/>
  <sheetViews>
    <sheetView zoomScalePageLayoutView="0" workbookViewId="0" topLeftCell="B1">
      <selection activeCell="K4" sqref="K4:P4"/>
    </sheetView>
  </sheetViews>
  <sheetFormatPr defaultColWidth="9.00390625" defaultRowHeight="15.75"/>
  <cols>
    <col min="1" max="1" width="4.125" style="0" customWidth="1"/>
    <col min="2" max="2" width="10.875" style="0" customWidth="1"/>
    <col min="3" max="3" width="6.25390625" style="0" customWidth="1"/>
    <col min="4" max="4" width="6.375" style="0" customWidth="1"/>
    <col min="5" max="5" width="8.25390625" style="0" customWidth="1"/>
    <col min="6" max="6" width="8.00390625" style="0" hidden="1" customWidth="1"/>
    <col min="7" max="8" width="7.00390625" style="0" customWidth="1"/>
    <col min="9" max="9" width="7.25390625" style="0" customWidth="1"/>
    <col min="10" max="10" width="8.50390625" style="5" customWidth="1"/>
    <col min="12" max="13" width="7.875" style="0" customWidth="1"/>
    <col min="14" max="14" width="7.625" style="0" customWidth="1"/>
    <col min="15" max="15" width="7.875" style="0" customWidth="1"/>
    <col min="16" max="16" width="8.00390625" style="0" customWidth="1"/>
    <col min="17" max="17" width="7.875" style="0" customWidth="1"/>
  </cols>
  <sheetData>
    <row r="1" spans="2:16" ht="15.75">
      <c r="B1" s="681" t="s">
        <v>44</v>
      </c>
      <c r="C1" s="681"/>
      <c r="D1" s="681"/>
      <c r="E1" s="681"/>
      <c r="F1" s="681"/>
      <c r="G1" s="681"/>
      <c r="H1" s="681"/>
      <c r="K1" s="681" t="s">
        <v>45</v>
      </c>
      <c r="L1" s="681"/>
      <c r="M1" s="681"/>
      <c r="N1" s="681"/>
      <c r="O1" s="681"/>
      <c r="P1" s="681"/>
    </row>
    <row r="2" spans="11:16" ht="15.75">
      <c r="K2" s="682" t="s">
        <v>46</v>
      </c>
      <c r="L2" s="682"/>
      <c r="M2" s="682"/>
      <c r="N2" s="682"/>
      <c r="O2" s="682"/>
      <c r="P2" s="682"/>
    </row>
    <row r="3" spans="1:10" ht="11.25" customHeight="1">
      <c r="A3" s="6"/>
      <c r="B3" s="683"/>
      <c r="C3" s="684"/>
      <c r="D3" s="684"/>
      <c r="E3" s="684"/>
      <c r="F3" s="684"/>
      <c r="G3" s="684"/>
      <c r="H3" s="684"/>
      <c r="I3" s="684"/>
      <c r="J3" s="684"/>
    </row>
    <row r="4" spans="1:17" ht="15.75">
      <c r="A4" s="685" t="s">
        <v>5</v>
      </c>
      <c r="B4" s="685" t="s">
        <v>47</v>
      </c>
      <c r="C4" s="688" t="s">
        <v>48</v>
      </c>
      <c r="D4" s="688"/>
      <c r="E4" s="688"/>
      <c r="F4" s="688"/>
      <c r="G4" s="688"/>
      <c r="H4" s="688"/>
      <c r="I4" s="688"/>
      <c r="J4" s="688"/>
      <c r="K4" s="688" t="s">
        <v>462</v>
      </c>
      <c r="L4" s="688"/>
      <c r="M4" s="688"/>
      <c r="N4" s="688"/>
      <c r="O4" s="688"/>
      <c r="P4" s="688"/>
      <c r="Q4" s="696" t="s">
        <v>49</v>
      </c>
    </row>
    <row r="5" spans="1:17" ht="12.75" customHeight="1">
      <c r="A5" s="686"/>
      <c r="B5" s="686"/>
      <c r="C5" s="699" t="s">
        <v>50</v>
      </c>
      <c r="D5" s="699" t="s">
        <v>51</v>
      </c>
      <c r="E5" s="699"/>
      <c r="F5" s="699"/>
      <c r="G5" s="699"/>
      <c r="H5" s="699"/>
      <c r="I5" s="699"/>
      <c r="J5" s="700" t="s">
        <v>52</v>
      </c>
      <c r="K5" s="701" t="s">
        <v>51</v>
      </c>
      <c r="L5" s="702"/>
      <c r="M5" s="702"/>
      <c r="N5" s="702"/>
      <c r="O5" s="702"/>
      <c r="P5" s="703"/>
      <c r="Q5" s="697"/>
    </row>
    <row r="6" spans="1:17" ht="12.75" customHeight="1">
      <c r="A6" s="686"/>
      <c r="B6" s="686"/>
      <c r="C6" s="699"/>
      <c r="D6" s="699" t="s">
        <v>53</v>
      </c>
      <c r="E6" s="699" t="s">
        <v>54</v>
      </c>
      <c r="F6" s="699"/>
      <c r="G6" s="699" t="s">
        <v>55</v>
      </c>
      <c r="H6" s="699" t="s">
        <v>56</v>
      </c>
      <c r="I6" s="699" t="s">
        <v>57</v>
      </c>
      <c r="J6" s="700"/>
      <c r="K6" s="689" t="s">
        <v>58</v>
      </c>
      <c r="L6" s="686" t="s">
        <v>53</v>
      </c>
      <c r="M6" s="686" t="s">
        <v>54</v>
      </c>
      <c r="N6" s="686" t="s">
        <v>55</v>
      </c>
      <c r="O6" s="686" t="s">
        <v>59</v>
      </c>
      <c r="P6" s="686" t="s">
        <v>57</v>
      </c>
      <c r="Q6" s="697"/>
    </row>
    <row r="7" spans="1:17" ht="12.75" customHeight="1">
      <c r="A7" s="686"/>
      <c r="B7" s="686"/>
      <c r="C7" s="699"/>
      <c r="D7" s="699"/>
      <c r="E7" s="699"/>
      <c r="F7" s="699"/>
      <c r="G7" s="699"/>
      <c r="H7" s="699"/>
      <c r="I7" s="699"/>
      <c r="J7" s="700"/>
      <c r="K7" s="690"/>
      <c r="L7" s="686"/>
      <c r="M7" s="686"/>
      <c r="N7" s="686"/>
      <c r="O7" s="686"/>
      <c r="P7" s="686"/>
      <c r="Q7" s="697"/>
    </row>
    <row r="8" spans="1:17" ht="66" customHeight="1">
      <c r="A8" s="687"/>
      <c r="B8" s="687"/>
      <c r="C8" s="699"/>
      <c r="D8" s="699"/>
      <c r="E8" s="699"/>
      <c r="F8" s="699"/>
      <c r="G8" s="699"/>
      <c r="H8" s="699"/>
      <c r="I8" s="699"/>
      <c r="J8" s="700"/>
      <c r="K8" s="691"/>
      <c r="L8" s="687"/>
      <c r="M8" s="687"/>
      <c r="N8" s="687"/>
      <c r="O8" s="687"/>
      <c r="P8" s="687"/>
      <c r="Q8" s="698"/>
    </row>
    <row r="9" spans="1:17" ht="15.75">
      <c r="A9" s="7">
        <v>1</v>
      </c>
      <c r="B9" s="8" t="s">
        <v>60</v>
      </c>
      <c r="C9" s="9">
        <f aca="true" t="shared" si="0" ref="C9:C35">D9+E9+G9+H9+I9</f>
        <v>2.7</v>
      </c>
      <c r="D9" s="10"/>
      <c r="E9" s="10">
        <v>1.7</v>
      </c>
      <c r="F9" s="10">
        <v>3</v>
      </c>
      <c r="G9" s="10">
        <v>1</v>
      </c>
      <c r="H9" s="10"/>
      <c r="I9" s="11"/>
      <c r="J9" s="12">
        <f aca="true" t="shared" si="1" ref="J9:J35">D9*194.67+E9*173.04+111.72*(G9+H9)+I9*127.68</f>
        <v>405.88800000000003</v>
      </c>
      <c r="K9" s="13">
        <f aca="true" t="shared" si="2" ref="K9:K35">+SUM(L9:P9)</f>
        <v>2.18</v>
      </c>
      <c r="L9" s="10"/>
      <c r="M9" s="10">
        <v>0.38</v>
      </c>
      <c r="N9" s="10">
        <v>1.8</v>
      </c>
      <c r="O9" s="10"/>
      <c r="P9" s="11"/>
      <c r="Q9" s="12">
        <v>285</v>
      </c>
    </row>
    <row r="10" spans="1:17" ht="15.75">
      <c r="A10" s="14">
        <v>2</v>
      </c>
      <c r="B10" s="15" t="s">
        <v>61</v>
      </c>
      <c r="C10" s="16">
        <f t="shared" si="0"/>
        <v>4.5</v>
      </c>
      <c r="D10" s="17"/>
      <c r="E10" s="17"/>
      <c r="F10" s="17">
        <v>2</v>
      </c>
      <c r="G10" s="17">
        <v>2</v>
      </c>
      <c r="H10" s="17">
        <v>1.5</v>
      </c>
      <c r="I10" s="18">
        <v>1</v>
      </c>
      <c r="J10" s="19">
        <f t="shared" si="1"/>
        <v>518.7</v>
      </c>
      <c r="K10" s="20">
        <f t="shared" si="2"/>
        <v>0</v>
      </c>
      <c r="L10" s="17"/>
      <c r="M10" s="17"/>
      <c r="N10" s="17"/>
      <c r="O10" s="17"/>
      <c r="P10" s="18"/>
      <c r="Q10" s="19"/>
    </row>
    <row r="11" spans="1:17" ht="15.75">
      <c r="A11" s="14">
        <v>3</v>
      </c>
      <c r="B11" s="15" t="s">
        <v>62</v>
      </c>
      <c r="C11" s="16">
        <f t="shared" si="0"/>
        <v>4</v>
      </c>
      <c r="D11" s="17"/>
      <c r="E11" s="17"/>
      <c r="F11" s="17">
        <v>3</v>
      </c>
      <c r="G11" s="17">
        <v>3</v>
      </c>
      <c r="H11" s="17"/>
      <c r="I11" s="18">
        <v>1</v>
      </c>
      <c r="J11" s="19">
        <f t="shared" si="1"/>
        <v>462.84</v>
      </c>
      <c r="K11" s="20">
        <f t="shared" si="2"/>
        <v>0.28</v>
      </c>
      <c r="L11" s="17"/>
      <c r="M11" s="17"/>
      <c r="N11" s="17">
        <v>0.28</v>
      </c>
      <c r="O11" s="17"/>
      <c r="P11" s="18"/>
      <c r="Q11" s="19">
        <v>32</v>
      </c>
    </row>
    <row r="12" spans="1:17" ht="15.75">
      <c r="A12" s="14">
        <v>4</v>
      </c>
      <c r="B12" s="15" t="s">
        <v>63</v>
      </c>
      <c r="C12" s="16">
        <f t="shared" si="0"/>
        <v>14.5</v>
      </c>
      <c r="D12" s="17">
        <v>1.5</v>
      </c>
      <c r="E12" s="17">
        <v>5</v>
      </c>
      <c r="F12" s="17">
        <v>2</v>
      </c>
      <c r="G12" s="17">
        <v>2</v>
      </c>
      <c r="H12" s="17">
        <v>5</v>
      </c>
      <c r="I12" s="18">
        <v>1</v>
      </c>
      <c r="J12" s="19">
        <f t="shared" si="1"/>
        <v>2066.9249999999997</v>
      </c>
      <c r="K12" s="20">
        <f t="shared" si="2"/>
        <v>1.0699999999999998</v>
      </c>
      <c r="L12" s="17"/>
      <c r="M12" s="17">
        <v>0.82</v>
      </c>
      <c r="N12" s="17">
        <v>0.25</v>
      </c>
      <c r="O12" s="17"/>
      <c r="P12" s="18"/>
      <c r="Q12" s="19">
        <v>170</v>
      </c>
    </row>
    <row r="13" spans="1:17" ht="15.75">
      <c r="A13" s="14">
        <v>5</v>
      </c>
      <c r="B13" s="15" t="s">
        <v>64</v>
      </c>
      <c r="C13" s="16">
        <f t="shared" si="0"/>
        <v>6.6</v>
      </c>
      <c r="D13" s="17"/>
      <c r="E13" s="17">
        <v>0.3</v>
      </c>
      <c r="F13" s="17">
        <v>2.5</v>
      </c>
      <c r="G13" s="17">
        <v>3.6</v>
      </c>
      <c r="H13" s="17">
        <v>2.7</v>
      </c>
      <c r="I13" s="18"/>
      <c r="J13" s="19">
        <f t="shared" si="1"/>
        <v>755.7480000000002</v>
      </c>
      <c r="K13" s="20">
        <f t="shared" si="2"/>
        <v>0</v>
      </c>
      <c r="L13" s="17"/>
      <c r="M13" s="17"/>
      <c r="N13" s="17"/>
      <c r="O13" s="17"/>
      <c r="P13" s="18"/>
      <c r="Q13" s="19"/>
    </row>
    <row r="14" spans="1:17" ht="15.75">
      <c r="A14" s="14">
        <v>6</v>
      </c>
      <c r="B14" s="15" t="s">
        <v>65</v>
      </c>
      <c r="C14" s="16">
        <f t="shared" si="0"/>
        <v>10</v>
      </c>
      <c r="D14" s="17"/>
      <c r="E14" s="17">
        <v>2</v>
      </c>
      <c r="F14" s="17">
        <v>5</v>
      </c>
      <c r="G14" s="17">
        <v>5</v>
      </c>
      <c r="H14" s="17">
        <v>3</v>
      </c>
      <c r="I14" s="18"/>
      <c r="J14" s="19">
        <f t="shared" si="1"/>
        <v>1239.84</v>
      </c>
      <c r="K14" s="20">
        <f t="shared" si="2"/>
        <v>0</v>
      </c>
      <c r="L14" s="17"/>
      <c r="M14" s="17"/>
      <c r="N14" s="17"/>
      <c r="O14" s="17"/>
      <c r="P14" s="18"/>
      <c r="Q14" s="19"/>
    </row>
    <row r="15" spans="1:17" ht="15.75">
      <c r="A15" s="14">
        <v>7</v>
      </c>
      <c r="B15" s="15" t="s">
        <v>66</v>
      </c>
      <c r="C15" s="16">
        <f t="shared" si="0"/>
        <v>3.9000000000000004</v>
      </c>
      <c r="D15" s="17"/>
      <c r="E15" s="17">
        <v>1.8</v>
      </c>
      <c r="F15" s="17">
        <v>4</v>
      </c>
      <c r="G15" s="17">
        <v>1.4</v>
      </c>
      <c r="H15" s="17">
        <v>0.7</v>
      </c>
      <c r="I15" s="18"/>
      <c r="J15" s="19">
        <f t="shared" si="1"/>
        <v>546.084</v>
      </c>
      <c r="K15" s="20">
        <f t="shared" si="2"/>
        <v>2.6</v>
      </c>
      <c r="L15" s="17"/>
      <c r="M15" s="17">
        <v>0.8</v>
      </c>
      <c r="N15" s="17">
        <v>1.8</v>
      </c>
      <c r="O15" s="17"/>
      <c r="P15" s="18"/>
      <c r="Q15" s="19">
        <v>390</v>
      </c>
    </row>
    <row r="16" spans="1:17" ht="15.75">
      <c r="A16" s="14">
        <v>8</v>
      </c>
      <c r="B16" s="15" t="s">
        <v>67</v>
      </c>
      <c r="C16" s="16">
        <f t="shared" si="0"/>
        <v>9</v>
      </c>
      <c r="D16" s="17">
        <v>0.5</v>
      </c>
      <c r="E16" s="17"/>
      <c r="F16" s="17">
        <v>8.5</v>
      </c>
      <c r="G16" s="17">
        <v>8.5</v>
      </c>
      <c r="H16" s="17"/>
      <c r="I16" s="18"/>
      <c r="J16" s="19">
        <f t="shared" si="1"/>
        <v>1046.955</v>
      </c>
      <c r="K16" s="20">
        <f t="shared" si="2"/>
        <v>2.45</v>
      </c>
      <c r="L16" s="17">
        <v>0.3</v>
      </c>
      <c r="M16" s="17">
        <v>0.15</v>
      </c>
      <c r="N16" s="17">
        <v>2</v>
      </c>
      <c r="O16" s="17"/>
      <c r="P16" s="18"/>
      <c r="Q16" s="19">
        <v>321</v>
      </c>
    </row>
    <row r="17" spans="1:17" ht="15.75">
      <c r="A17" s="14">
        <v>9</v>
      </c>
      <c r="B17" s="15" t="s">
        <v>68</v>
      </c>
      <c r="C17" s="16">
        <f t="shared" si="0"/>
        <v>8.9</v>
      </c>
      <c r="D17" s="17">
        <v>0.2</v>
      </c>
      <c r="E17" s="17">
        <v>3.2</v>
      </c>
      <c r="F17" s="17">
        <v>5</v>
      </c>
      <c r="G17" s="17">
        <v>3.5</v>
      </c>
      <c r="H17" s="17">
        <v>2</v>
      </c>
      <c r="I17" s="18"/>
      <c r="J17" s="19">
        <f t="shared" si="1"/>
        <v>1207.1219999999998</v>
      </c>
      <c r="K17" s="20">
        <f t="shared" si="2"/>
        <v>1.5</v>
      </c>
      <c r="L17" s="17"/>
      <c r="M17" s="17">
        <v>0.3</v>
      </c>
      <c r="N17" s="17">
        <v>1.2</v>
      </c>
      <c r="O17" s="17"/>
      <c r="P17" s="18"/>
      <c r="Q17" s="19">
        <v>192</v>
      </c>
    </row>
    <row r="18" spans="1:17" ht="15.75">
      <c r="A18" s="14">
        <v>10</v>
      </c>
      <c r="B18" s="15" t="s">
        <v>69</v>
      </c>
      <c r="C18" s="16">
        <f t="shared" si="0"/>
        <v>8.1</v>
      </c>
      <c r="D18" s="17"/>
      <c r="E18" s="17">
        <v>2.1</v>
      </c>
      <c r="F18" s="17">
        <v>5</v>
      </c>
      <c r="G18" s="17">
        <v>1.5</v>
      </c>
      <c r="H18" s="17">
        <v>4.5</v>
      </c>
      <c r="I18" s="18"/>
      <c r="J18" s="19">
        <f t="shared" si="1"/>
        <v>1033.704</v>
      </c>
      <c r="K18" s="20">
        <f t="shared" si="2"/>
        <v>0</v>
      </c>
      <c r="L18" s="17"/>
      <c r="M18" s="17"/>
      <c r="N18" s="17"/>
      <c r="O18" s="17"/>
      <c r="P18" s="18"/>
      <c r="Q18" s="19"/>
    </row>
    <row r="19" spans="1:17" ht="15.75">
      <c r="A19" s="14">
        <v>11</v>
      </c>
      <c r="B19" s="21" t="s">
        <v>70</v>
      </c>
      <c r="C19" s="16">
        <f t="shared" si="0"/>
        <v>3.7</v>
      </c>
      <c r="D19" s="17"/>
      <c r="E19" s="17"/>
      <c r="F19" s="17">
        <v>2.5</v>
      </c>
      <c r="G19" s="17">
        <v>1.2</v>
      </c>
      <c r="H19" s="17">
        <v>2.5</v>
      </c>
      <c r="I19" s="18"/>
      <c r="J19" s="19">
        <f t="shared" si="1"/>
        <v>413.36400000000003</v>
      </c>
      <c r="K19" s="20">
        <f t="shared" si="2"/>
        <v>0</v>
      </c>
      <c r="L19" s="17"/>
      <c r="M19" s="17"/>
      <c r="N19" s="17"/>
      <c r="O19" s="17"/>
      <c r="P19" s="18"/>
      <c r="Q19" s="19"/>
    </row>
    <row r="20" spans="1:17" ht="15.75">
      <c r="A20" s="14">
        <v>12</v>
      </c>
      <c r="B20" s="15" t="s">
        <v>71</v>
      </c>
      <c r="C20" s="16">
        <f t="shared" si="0"/>
        <v>4.6</v>
      </c>
      <c r="D20" s="17"/>
      <c r="E20" s="17"/>
      <c r="F20" s="17">
        <v>3</v>
      </c>
      <c r="G20" s="17">
        <v>2.6</v>
      </c>
      <c r="H20" s="17">
        <v>2</v>
      </c>
      <c r="I20" s="18"/>
      <c r="J20" s="19">
        <f t="shared" si="1"/>
        <v>513.9119999999999</v>
      </c>
      <c r="K20" s="20">
        <f t="shared" si="2"/>
        <v>0</v>
      </c>
      <c r="L20" s="17"/>
      <c r="M20" s="17"/>
      <c r="N20" s="17"/>
      <c r="O20" s="17"/>
      <c r="P20" s="18"/>
      <c r="Q20" s="19"/>
    </row>
    <row r="21" spans="1:17" ht="15.75">
      <c r="A21" s="14">
        <v>13</v>
      </c>
      <c r="B21" s="15" t="s">
        <v>72</v>
      </c>
      <c r="C21" s="16">
        <f t="shared" si="0"/>
        <v>8.7</v>
      </c>
      <c r="D21" s="17">
        <v>0.3</v>
      </c>
      <c r="E21" s="17">
        <v>2.4</v>
      </c>
      <c r="F21" s="17">
        <v>4.4</v>
      </c>
      <c r="G21" s="17">
        <v>4.4</v>
      </c>
      <c r="H21" s="17">
        <v>1.6</v>
      </c>
      <c r="I21" s="18"/>
      <c r="J21" s="19">
        <f t="shared" si="1"/>
        <v>1144.0169999999998</v>
      </c>
      <c r="K21" s="20">
        <f t="shared" si="2"/>
        <v>0.4</v>
      </c>
      <c r="L21" s="17"/>
      <c r="M21" s="17"/>
      <c r="N21" s="17">
        <v>0.4</v>
      </c>
      <c r="O21" s="17"/>
      <c r="P21" s="18"/>
      <c r="Q21" s="19">
        <v>45</v>
      </c>
    </row>
    <row r="22" spans="1:17" ht="15.75">
      <c r="A22" s="14">
        <v>14</v>
      </c>
      <c r="B22" s="21" t="s">
        <v>73</v>
      </c>
      <c r="C22" s="16">
        <f t="shared" si="0"/>
        <v>2</v>
      </c>
      <c r="D22" s="22"/>
      <c r="E22" s="18"/>
      <c r="F22" s="18">
        <v>2</v>
      </c>
      <c r="G22" s="18">
        <v>2</v>
      </c>
      <c r="H22" s="22"/>
      <c r="I22" s="23"/>
      <c r="J22" s="19">
        <f t="shared" si="1"/>
        <v>223.44</v>
      </c>
      <c r="K22" s="20">
        <f t="shared" si="2"/>
        <v>0</v>
      </c>
      <c r="L22" s="22"/>
      <c r="M22" s="18"/>
      <c r="N22" s="18"/>
      <c r="O22" s="22"/>
      <c r="P22" s="23"/>
      <c r="Q22" s="19"/>
    </row>
    <row r="23" spans="1:17" ht="15.75">
      <c r="A23" s="14">
        <v>15</v>
      </c>
      <c r="B23" s="15" t="s">
        <v>74</v>
      </c>
      <c r="C23" s="16">
        <f t="shared" si="0"/>
        <v>3</v>
      </c>
      <c r="D23" s="17"/>
      <c r="E23" s="17"/>
      <c r="F23" s="17">
        <v>3</v>
      </c>
      <c r="G23" s="17">
        <v>3</v>
      </c>
      <c r="H23" s="22"/>
      <c r="I23" s="18"/>
      <c r="J23" s="19">
        <f t="shared" si="1"/>
        <v>335.15999999999997</v>
      </c>
      <c r="K23" s="20">
        <f t="shared" si="2"/>
        <v>1.2</v>
      </c>
      <c r="L23" s="17"/>
      <c r="M23" s="17"/>
      <c r="N23" s="17">
        <v>1.2</v>
      </c>
      <c r="O23" s="22"/>
      <c r="P23" s="18"/>
      <c r="Q23" s="19">
        <v>180</v>
      </c>
    </row>
    <row r="24" spans="1:17" ht="15.75">
      <c r="A24" s="14">
        <v>16</v>
      </c>
      <c r="B24" s="15" t="s">
        <v>75</v>
      </c>
      <c r="C24" s="16">
        <f t="shared" si="0"/>
        <v>3</v>
      </c>
      <c r="D24" s="17"/>
      <c r="E24" s="17"/>
      <c r="F24" s="17">
        <v>2</v>
      </c>
      <c r="G24" s="17">
        <v>1</v>
      </c>
      <c r="H24" s="17">
        <v>2</v>
      </c>
      <c r="I24" s="18"/>
      <c r="J24" s="19">
        <f t="shared" si="1"/>
        <v>335.15999999999997</v>
      </c>
      <c r="K24" s="20">
        <f t="shared" si="2"/>
        <v>0.28</v>
      </c>
      <c r="L24" s="17"/>
      <c r="M24" s="17"/>
      <c r="N24" s="17"/>
      <c r="O24" s="17">
        <v>0.28</v>
      </c>
      <c r="P24" s="18"/>
      <c r="Q24" s="19">
        <v>33</v>
      </c>
    </row>
    <row r="25" spans="1:17" ht="15.75">
      <c r="A25" s="14">
        <v>17</v>
      </c>
      <c r="B25" s="15" t="s">
        <v>76</v>
      </c>
      <c r="C25" s="16">
        <f t="shared" si="0"/>
        <v>20</v>
      </c>
      <c r="D25" s="17">
        <v>1.5</v>
      </c>
      <c r="E25" s="17">
        <v>7.7</v>
      </c>
      <c r="F25" s="17">
        <v>4.2</v>
      </c>
      <c r="G25" s="17">
        <v>4.2</v>
      </c>
      <c r="H25" s="17">
        <v>6.6</v>
      </c>
      <c r="I25" s="17"/>
      <c r="J25" s="19">
        <f t="shared" si="1"/>
        <v>2830.989</v>
      </c>
      <c r="K25" s="20">
        <f t="shared" si="2"/>
        <v>0</v>
      </c>
      <c r="L25" s="17"/>
      <c r="M25" s="17"/>
      <c r="N25" s="17"/>
      <c r="O25" s="17"/>
      <c r="P25" s="17"/>
      <c r="Q25" s="19"/>
    </row>
    <row r="26" spans="1:17" ht="15.75">
      <c r="A26" s="14">
        <v>18</v>
      </c>
      <c r="B26" s="15" t="s">
        <v>77</v>
      </c>
      <c r="C26" s="16">
        <f t="shared" si="0"/>
        <v>4</v>
      </c>
      <c r="D26" s="17"/>
      <c r="E26" s="17">
        <v>0.5</v>
      </c>
      <c r="F26" s="17">
        <v>2</v>
      </c>
      <c r="G26" s="17">
        <v>2</v>
      </c>
      <c r="H26" s="17">
        <v>1.5</v>
      </c>
      <c r="I26" s="18"/>
      <c r="J26" s="19">
        <f t="shared" si="1"/>
        <v>477.53999999999996</v>
      </c>
      <c r="K26" s="20">
        <f t="shared" si="2"/>
        <v>0.55</v>
      </c>
      <c r="L26" s="17"/>
      <c r="M26" s="17"/>
      <c r="N26" s="17">
        <v>0.55</v>
      </c>
      <c r="O26" s="17"/>
      <c r="P26" s="18"/>
      <c r="Q26" s="19">
        <v>61.4</v>
      </c>
    </row>
    <row r="27" spans="1:17" ht="15.75">
      <c r="A27" s="14">
        <v>19</v>
      </c>
      <c r="B27" s="15" t="s">
        <v>78</v>
      </c>
      <c r="C27" s="16">
        <f t="shared" si="0"/>
        <v>2.5</v>
      </c>
      <c r="D27" s="17"/>
      <c r="E27" s="17"/>
      <c r="F27" s="17">
        <v>1.5</v>
      </c>
      <c r="G27" s="17">
        <v>1.5</v>
      </c>
      <c r="H27" s="17">
        <v>1</v>
      </c>
      <c r="I27" s="18"/>
      <c r="J27" s="19">
        <f t="shared" si="1"/>
        <v>279.3</v>
      </c>
      <c r="K27" s="20">
        <f t="shared" si="2"/>
        <v>0</v>
      </c>
      <c r="L27" s="17"/>
      <c r="M27" s="17"/>
      <c r="N27" s="17"/>
      <c r="O27" s="17"/>
      <c r="P27" s="18"/>
      <c r="Q27" s="19"/>
    </row>
    <row r="28" spans="1:17" ht="15.75">
      <c r="A28" s="14">
        <v>20</v>
      </c>
      <c r="B28" s="15" t="s">
        <v>79</v>
      </c>
      <c r="C28" s="16">
        <f t="shared" si="0"/>
        <v>5.8</v>
      </c>
      <c r="D28" s="17"/>
      <c r="E28" s="17"/>
      <c r="F28" s="17">
        <v>3</v>
      </c>
      <c r="G28" s="17">
        <v>3.3</v>
      </c>
      <c r="H28" s="17">
        <v>2.5</v>
      </c>
      <c r="I28" s="18"/>
      <c r="J28" s="19">
        <f t="shared" si="1"/>
        <v>647.976</v>
      </c>
      <c r="K28" s="20">
        <f t="shared" si="2"/>
        <v>0</v>
      </c>
      <c r="L28" s="17"/>
      <c r="M28" s="17"/>
      <c r="N28" s="17"/>
      <c r="O28" s="17"/>
      <c r="P28" s="18"/>
      <c r="Q28" s="19">
        <v>180</v>
      </c>
    </row>
    <row r="29" spans="1:17" ht="15.75">
      <c r="A29" s="14">
        <v>21</v>
      </c>
      <c r="B29" s="15" t="s">
        <v>80</v>
      </c>
      <c r="C29" s="16">
        <f t="shared" si="0"/>
        <v>3.5</v>
      </c>
      <c r="D29" s="17"/>
      <c r="E29" s="17"/>
      <c r="F29" s="17"/>
      <c r="G29" s="17">
        <v>3.5</v>
      </c>
      <c r="H29" s="17"/>
      <c r="I29" s="17"/>
      <c r="J29" s="19">
        <f t="shared" si="1"/>
        <v>391.02</v>
      </c>
      <c r="K29" s="20">
        <f t="shared" si="2"/>
        <v>0</v>
      </c>
      <c r="L29" s="17"/>
      <c r="M29" s="17"/>
      <c r="N29" s="17"/>
      <c r="O29" s="17"/>
      <c r="P29" s="17"/>
      <c r="Q29" s="19"/>
    </row>
    <row r="30" spans="1:17" ht="15.75">
      <c r="A30" s="14">
        <v>22</v>
      </c>
      <c r="B30" s="15" t="s">
        <v>81</v>
      </c>
      <c r="C30" s="16">
        <f t="shared" si="0"/>
        <v>1</v>
      </c>
      <c r="D30" s="17"/>
      <c r="E30" s="17"/>
      <c r="F30" s="17">
        <v>1</v>
      </c>
      <c r="G30" s="17">
        <v>1</v>
      </c>
      <c r="H30" s="17"/>
      <c r="I30" s="17"/>
      <c r="J30" s="19">
        <f t="shared" si="1"/>
        <v>111.72</v>
      </c>
      <c r="K30" s="20">
        <f t="shared" si="2"/>
        <v>0</v>
      </c>
      <c r="L30" s="17"/>
      <c r="M30" s="17"/>
      <c r="N30" s="17"/>
      <c r="O30" s="17"/>
      <c r="P30" s="17"/>
      <c r="Q30" s="19"/>
    </row>
    <row r="31" spans="1:17" ht="15.75">
      <c r="A31" s="14">
        <v>23</v>
      </c>
      <c r="B31" s="15" t="s">
        <v>82</v>
      </c>
      <c r="C31" s="16">
        <f t="shared" si="0"/>
        <v>11.5</v>
      </c>
      <c r="D31" s="17"/>
      <c r="E31" s="17">
        <v>1.2</v>
      </c>
      <c r="F31" s="17">
        <v>1</v>
      </c>
      <c r="G31" s="17">
        <v>1.9</v>
      </c>
      <c r="H31" s="17">
        <v>8.4</v>
      </c>
      <c r="I31" s="18"/>
      <c r="J31" s="19">
        <f t="shared" si="1"/>
        <v>1358.364</v>
      </c>
      <c r="K31" s="20">
        <f t="shared" si="2"/>
        <v>0</v>
      </c>
      <c r="L31" s="17"/>
      <c r="M31" s="17"/>
      <c r="N31" s="17"/>
      <c r="O31" s="17"/>
      <c r="P31" s="18"/>
      <c r="Q31" s="19"/>
    </row>
    <row r="32" spans="1:17" ht="15.75">
      <c r="A32" s="14">
        <v>24</v>
      </c>
      <c r="B32" s="15" t="s">
        <v>83</v>
      </c>
      <c r="C32" s="16">
        <f t="shared" si="0"/>
        <v>6.4</v>
      </c>
      <c r="D32" s="17"/>
      <c r="E32" s="17">
        <v>0.2</v>
      </c>
      <c r="F32" s="17">
        <v>3.1</v>
      </c>
      <c r="G32" s="17">
        <v>3.1</v>
      </c>
      <c r="H32" s="17">
        <v>3.1</v>
      </c>
      <c r="I32" s="18"/>
      <c r="J32" s="19">
        <f t="shared" si="1"/>
        <v>727.2719999999999</v>
      </c>
      <c r="K32" s="20">
        <f t="shared" si="2"/>
        <v>0</v>
      </c>
      <c r="L32" s="17"/>
      <c r="M32" s="17"/>
      <c r="N32" s="17"/>
      <c r="O32" s="17"/>
      <c r="P32" s="18"/>
      <c r="Q32" s="19"/>
    </row>
    <row r="33" spans="1:17" ht="15.75">
      <c r="A33" s="14">
        <v>25</v>
      </c>
      <c r="B33" s="15" t="s">
        <v>84</v>
      </c>
      <c r="C33" s="16">
        <f t="shared" si="0"/>
        <v>3</v>
      </c>
      <c r="D33" s="17">
        <v>1</v>
      </c>
      <c r="E33" s="17"/>
      <c r="F33" s="17">
        <v>2</v>
      </c>
      <c r="G33" s="17">
        <v>2</v>
      </c>
      <c r="H33" s="17"/>
      <c r="I33" s="18"/>
      <c r="J33" s="19">
        <f t="shared" si="1"/>
        <v>418.11</v>
      </c>
      <c r="K33" s="20">
        <f t="shared" si="2"/>
        <v>0.6</v>
      </c>
      <c r="L33" s="17"/>
      <c r="M33" s="17">
        <v>0.3</v>
      </c>
      <c r="N33" s="17"/>
      <c r="O33" s="17">
        <v>0.3</v>
      </c>
      <c r="P33" s="18"/>
      <c r="Q33" s="19">
        <v>87</v>
      </c>
    </row>
    <row r="34" spans="1:17" ht="15.75">
      <c r="A34" s="14">
        <v>26</v>
      </c>
      <c r="B34" s="15" t="s">
        <v>85</v>
      </c>
      <c r="C34" s="16">
        <f t="shared" si="0"/>
        <v>4</v>
      </c>
      <c r="D34" s="17"/>
      <c r="E34" s="17">
        <v>1</v>
      </c>
      <c r="F34" s="17">
        <v>2</v>
      </c>
      <c r="G34" s="17">
        <v>2</v>
      </c>
      <c r="H34" s="17">
        <v>1</v>
      </c>
      <c r="I34" s="18"/>
      <c r="J34" s="19">
        <f>D34*194.67+E34*173.04+111.72*(G34+H34)+I34*127.68</f>
        <v>508.19999999999993</v>
      </c>
      <c r="K34" s="20">
        <f t="shared" si="2"/>
        <v>0</v>
      </c>
      <c r="L34" s="17"/>
      <c r="M34" s="17"/>
      <c r="N34" s="17"/>
      <c r="O34" s="17"/>
      <c r="P34" s="18"/>
      <c r="Q34" s="19"/>
    </row>
    <row r="35" spans="1:17" ht="15.75">
      <c r="A35" s="24">
        <v>27</v>
      </c>
      <c r="B35" s="25" t="s">
        <v>86</v>
      </c>
      <c r="C35" s="26">
        <f t="shared" si="0"/>
        <v>6</v>
      </c>
      <c r="D35" s="27"/>
      <c r="E35" s="27">
        <v>1.2</v>
      </c>
      <c r="F35" s="27"/>
      <c r="G35" s="27">
        <v>4.8</v>
      </c>
      <c r="H35" s="27"/>
      <c r="I35" s="27"/>
      <c r="J35" s="28">
        <f t="shared" si="1"/>
        <v>743.904</v>
      </c>
      <c r="K35" s="29">
        <f t="shared" si="2"/>
        <v>0</v>
      </c>
      <c r="L35" s="27"/>
      <c r="M35" s="27"/>
      <c r="N35" s="27"/>
      <c r="O35" s="27"/>
      <c r="P35" s="27"/>
      <c r="Q35" s="28"/>
    </row>
    <row r="36" spans="1:17" ht="15.75">
      <c r="A36" s="30"/>
      <c r="B36" s="31" t="s">
        <v>87</v>
      </c>
      <c r="C36" s="32">
        <f aca="true" t="shared" si="3" ref="C36:I36">SUM(C9:C35)</f>
        <v>164.9</v>
      </c>
      <c r="D36" s="32">
        <f t="shared" si="3"/>
        <v>5</v>
      </c>
      <c r="E36" s="32">
        <f t="shared" si="3"/>
        <v>30.299999999999997</v>
      </c>
      <c r="F36" s="32">
        <f t="shared" si="3"/>
        <v>76.69999999999999</v>
      </c>
      <c r="G36" s="32">
        <f t="shared" si="3"/>
        <v>75</v>
      </c>
      <c r="H36" s="32">
        <f t="shared" si="3"/>
        <v>51.6</v>
      </c>
      <c r="I36" s="32">
        <f t="shared" si="3"/>
        <v>3</v>
      </c>
      <c r="J36" s="33">
        <f>SUM(J9:J35)</f>
        <v>20743.254</v>
      </c>
      <c r="K36" s="32">
        <f>+SUM(L36:P36)</f>
        <v>13.11</v>
      </c>
      <c r="L36" s="32">
        <f aca="true" t="shared" si="4" ref="L36:Q36">SUM(L9:L35)</f>
        <v>0.3</v>
      </c>
      <c r="M36" s="32">
        <f t="shared" si="4"/>
        <v>2.7499999999999996</v>
      </c>
      <c r="N36" s="32">
        <f t="shared" si="4"/>
        <v>9.48</v>
      </c>
      <c r="O36" s="32">
        <f t="shared" si="4"/>
        <v>0.5800000000000001</v>
      </c>
      <c r="P36" s="33">
        <f t="shared" si="4"/>
        <v>0</v>
      </c>
      <c r="Q36" s="33">
        <f t="shared" si="4"/>
        <v>1976.4</v>
      </c>
    </row>
    <row r="37" spans="1:15" ht="28.5" customHeight="1" hidden="1">
      <c r="A37" s="34"/>
      <c r="B37" s="692" t="s">
        <v>88</v>
      </c>
      <c r="C37" s="693"/>
      <c r="D37" s="693"/>
      <c r="E37" s="693"/>
      <c r="F37" s="693"/>
      <c r="G37" s="693"/>
      <c r="H37" s="693"/>
      <c r="I37" s="693"/>
      <c r="J37" s="693"/>
      <c r="K37" s="35"/>
      <c r="L37" s="35"/>
      <c r="M37" s="35"/>
      <c r="N37" s="35"/>
      <c r="O37" s="35"/>
    </row>
    <row r="38" spans="1:15" ht="16.5" customHeight="1" hidden="1">
      <c r="A38" s="34"/>
      <c r="B38" s="36"/>
      <c r="C38" s="37"/>
      <c r="D38" s="37"/>
      <c r="E38" s="37"/>
      <c r="F38" s="37"/>
      <c r="G38" s="37"/>
      <c r="H38" s="37"/>
      <c r="I38" s="37"/>
      <c r="J38" s="37"/>
      <c r="K38" s="35"/>
      <c r="L38" s="35"/>
      <c r="M38" s="35"/>
      <c r="N38" s="35"/>
      <c r="O38" s="35"/>
    </row>
    <row r="39" spans="1:15" ht="16.5" customHeight="1" hidden="1">
      <c r="A39" s="694" t="s">
        <v>89</v>
      </c>
      <c r="B39" s="695"/>
      <c r="C39" s="695"/>
      <c r="D39" s="695"/>
      <c r="E39" s="695"/>
      <c r="F39" s="695"/>
      <c r="G39" s="695"/>
      <c r="H39" s="695"/>
      <c r="I39" s="695"/>
      <c r="J39" s="695"/>
      <c r="K39" s="35"/>
      <c r="L39" s="35"/>
      <c r="M39" s="35"/>
      <c r="N39" s="35"/>
      <c r="O39" s="35"/>
    </row>
    <row r="40" spans="1:15" ht="16.5" customHeight="1" hidden="1">
      <c r="A40" s="6"/>
      <c r="B40" s="683"/>
      <c r="C40" s="683"/>
      <c r="D40" s="683"/>
      <c r="E40" s="683"/>
      <c r="F40" s="683"/>
      <c r="G40" s="683"/>
      <c r="H40" s="683"/>
      <c r="I40" s="683"/>
      <c r="J40" s="683"/>
      <c r="K40" s="35"/>
      <c r="L40" s="35"/>
      <c r="M40" s="35"/>
      <c r="N40" s="35"/>
      <c r="O40" s="35"/>
    </row>
    <row r="41" spans="1:15" ht="16.5" customHeight="1" hidden="1">
      <c r="A41" s="685" t="s">
        <v>5</v>
      </c>
      <c r="B41" s="685" t="s">
        <v>47</v>
      </c>
      <c r="C41" s="707" t="s">
        <v>90</v>
      </c>
      <c r="D41" s="708"/>
      <c r="E41" s="708"/>
      <c r="F41" s="708"/>
      <c r="G41" s="708"/>
      <c r="H41" s="708"/>
      <c r="I41" s="709"/>
      <c r="J41" s="38" t="s">
        <v>91</v>
      </c>
      <c r="K41" s="35"/>
      <c r="L41" s="35"/>
      <c r="M41" s="35"/>
      <c r="N41" s="35"/>
      <c r="O41" s="35"/>
    </row>
    <row r="42" spans="1:15" ht="16.5" customHeight="1" hidden="1">
      <c r="A42" s="686"/>
      <c r="B42" s="686"/>
      <c r="C42" s="710" t="s">
        <v>50</v>
      </c>
      <c r="D42" s="713" t="s">
        <v>92</v>
      </c>
      <c r="E42" s="714"/>
      <c r="F42" s="714"/>
      <c r="G42" s="714"/>
      <c r="H42" s="714"/>
      <c r="I42" s="715"/>
      <c r="J42" s="38" t="s">
        <v>93</v>
      </c>
      <c r="K42" s="35"/>
      <c r="L42" s="35"/>
      <c r="M42" s="35"/>
      <c r="N42" s="35"/>
      <c r="O42" s="35"/>
    </row>
    <row r="43" spans="1:15" ht="16.5" customHeight="1" hidden="1">
      <c r="A43" s="686"/>
      <c r="B43" s="686"/>
      <c r="C43" s="711"/>
      <c r="D43" s="685" t="s">
        <v>94</v>
      </c>
      <c r="E43" s="685" t="s">
        <v>95</v>
      </c>
      <c r="F43" s="685"/>
      <c r="G43" s="685" t="s">
        <v>96</v>
      </c>
      <c r="H43" s="685" t="s">
        <v>97</v>
      </c>
      <c r="I43" s="685" t="s">
        <v>98</v>
      </c>
      <c r="J43" s="704" t="s">
        <v>99</v>
      </c>
      <c r="K43" s="35"/>
      <c r="L43" s="35"/>
      <c r="M43" s="35"/>
      <c r="N43" s="35"/>
      <c r="O43" s="35"/>
    </row>
    <row r="44" spans="1:15" ht="16.5" customHeight="1" hidden="1">
      <c r="A44" s="686"/>
      <c r="B44" s="686"/>
      <c r="C44" s="711"/>
      <c r="D44" s="686"/>
      <c r="E44" s="686"/>
      <c r="F44" s="686"/>
      <c r="G44" s="686"/>
      <c r="H44" s="686"/>
      <c r="I44" s="686"/>
      <c r="J44" s="705"/>
      <c r="K44" s="35"/>
      <c r="L44" s="35"/>
      <c r="M44" s="35"/>
      <c r="N44" s="35"/>
      <c r="O44" s="35"/>
    </row>
    <row r="45" spans="1:15" ht="16.5" customHeight="1" hidden="1">
      <c r="A45" s="687"/>
      <c r="B45" s="687"/>
      <c r="C45" s="712"/>
      <c r="D45" s="687"/>
      <c r="E45" s="687"/>
      <c r="F45" s="687"/>
      <c r="G45" s="687"/>
      <c r="H45" s="687"/>
      <c r="I45" s="687"/>
      <c r="J45" s="706"/>
      <c r="K45" s="35"/>
      <c r="L45" s="35"/>
      <c r="M45" s="35"/>
      <c r="N45" s="35"/>
      <c r="O45" s="35"/>
    </row>
    <row r="46" spans="1:15" ht="16.5" customHeight="1" hidden="1">
      <c r="A46" s="39">
        <v>1</v>
      </c>
      <c r="B46" s="40" t="s">
        <v>60</v>
      </c>
      <c r="C46" s="41"/>
      <c r="D46" s="42"/>
      <c r="E46" s="42">
        <v>0.38</v>
      </c>
      <c r="F46" s="42">
        <v>3</v>
      </c>
      <c r="G46" s="42">
        <v>1.8</v>
      </c>
      <c r="H46" s="42"/>
      <c r="I46" s="43"/>
      <c r="J46" s="44">
        <v>285</v>
      </c>
      <c r="K46" s="35"/>
      <c r="L46" s="35"/>
      <c r="M46" s="35"/>
      <c r="N46" s="35"/>
      <c r="O46" s="35"/>
    </row>
    <row r="47" spans="1:15" ht="16.5" customHeight="1" hidden="1">
      <c r="A47" s="45">
        <v>2</v>
      </c>
      <c r="B47" s="46" t="s">
        <v>61</v>
      </c>
      <c r="C47" s="47"/>
      <c r="D47" s="48"/>
      <c r="E47" s="48"/>
      <c r="F47" s="48">
        <v>2</v>
      </c>
      <c r="G47" s="48"/>
      <c r="H47" s="48"/>
      <c r="I47" s="49"/>
      <c r="J47" s="50"/>
      <c r="K47" s="35"/>
      <c r="L47" s="35"/>
      <c r="M47" s="35"/>
      <c r="N47" s="35"/>
      <c r="O47" s="35"/>
    </row>
    <row r="48" spans="1:15" ht="16.5" customHeight="1" hidden="1">
      <c r="A48" s="45">
        <v>3</v>
      </c>
      <c r="B48" s="46" t="s">
        <v>62</v>
      </c>
      <c r="C48" s="47"/>
      <c r="D48" s="48"/>
      <c r="E48" s="48"/>
      <c r="F48" s="48">
        <v>3</v>
      </c>
      <c r="G48" s="48">
        <v>0.28</v>
      </c>
      <c r="H48" s="48"/>
      <c r="I48" s="49"/>
      <c r="J48" s="50">
        <v>32</v>
      </c>
      <c r="K48" s="35"/>
      <c r="L48" s="35"/>
      <c r="M48" s="35"/>
      <c r="N48" s="35"/>
      <c r="O48" s="35"/>
    </row>
    <row r="49" spans="1:15" ht="16.5" customHeight="1" hidden="1">
      <c r="A49" s="45">
        <v>4</v>
      </c>
      <c r="B49" s="46" t="s">
        <v>63</v>
      </c>
      <c r="C49" s="47"/>
      <c r="D49" s="48"/>
      <c r="E49" s="48">
        <v>0.82</v>
      </c>
      <c r="F49" s="48">
        <v>2</v>
      </c>
      <c r="G49" s="48">
        <v>0.25</v>
      </c>
      <c r="H49" s="48"/>
      <c r="I49" s="49"/>
      <c r="J49" s="50">
        <v>170</v>
      </c>
      <c r="K49" s="35"/>
      <c r="L49" s="35"/>
      <c r="M49" s="35"/>
      <c r="N49" s="35"/>
      <c r="O49" s="35"/>
    </row>
    <row r="50" spans="1:15" ht="16.5" customHeight="1" hidden="1">
      <c r="A50" s="45">
        <v>5</v>
      </c>
      <c r="B50" s="46" t="s">
        <v>64</v>
      </c>
      <c r="C50" s="47"/>
      <c r="D50" s="48"/>
      <c r="E50" s="48"/>
      <c r="F50" s="48"/>
      <c r="G50" s="48"/>
      <c r="H50" s="48"/>
      <c r="I50" s="49"/>
      <c r="J50" s="50"/>
      <c r="K50" s="35"/>
      <c r="L50" s="35"/>
      <c r="M50" s="35"/>
      <c r="N50" s="35"/>
      <c r="O50" s="35"/>
    </row>
    <row r="51" spans="1:15" ht="16.5" customHeight="1" hidden="1">
      <c r="A51" s="45">
        <v>6</v>
      </c>
      <c r="B51" s="46" t="s">
        <v>65</v>
      </c>
      <c r="C51" s="47"/>
      <c r="D51" s="48"/>
      <c r="E51" s="48"/>
      <c r="F51" s="48"/>
      <c r="G51" s="48"/>
      <c r="H51" s="48"/>
      <c r="I51" s="49"/>
      <c r="J51" s="50"/>
      <c r="K51" s="35"/>
      <c r="L51" s="35"/>
      <c r="M51" s="35"/>
      <c r="N51" s="35"/>
      <c r="O51" s="35"/>
    </row>
    <row r="52" spans="1:15" ht="16.5" customHeight="1" hidden="1">
      <c r="A52" s="45">
        <v>7</v>
      </c>
      <c r="B52" s="46" t="s">
        <v>66</v>
      </c>
      <c r="C52" s="47"/>
      <c r="D52" s="48"/>
      <c r="E52" s="48">
        <v>0.8</v>
      </c>
      <c r="F52" s="48">
        <v>4</v>
      </c>
      <c r="G52" s="48">
        <v>1.8</v>
      </c>
      <c r="H52" s="48"/>
      <c r="I52" s="49"/>
      <c r="J52" s="50">
        <v>390</v>
      </c>
      <c r="K52" s="35"/>
      <c r="L52" s="35"/>
      <c r="M52" s="35"/>
      <c r="N52" s="35"/>
      <c r="O52" s="35"/>
    </row>
    <row r="53" spans="1:15" ht="16.5" customHeight="1" hidden="1">
      <c r="A53" s="45">
        <v>8</v>
      </c>
      <c r="B53" s="46" t="s">
        <v>67</v>
      </c>
      <c r="C53" s="47"/>
      <c r="D53" s="48">
        <v>0.3</v>
      </c>
      <c r="E53" s="48">
        <v>0.15</v>
      </c>
      <c r="F53" s="48">
        <v>8.5</v>
      </c>
      <c r="G53" s="48">
        <v>2</v>
      </c>
      <c r="H53" s="48"/>
      <c r="I53" s="49"/>
      <c r="J53" s="50">
        <v>321</v>
      </c>
      <c r="K53" s="35"/>
      <c r="L53" s="35"/>
      <c r="M53" s="35"/>
      <c r="N53" s="35"/>
      <c r="O53" s="35"/>
    </row>
    <row r="54" spans="1:15" ht="16.5" customHeight="1" hidden="1">
      <c r="A54" s="45">
        <v>9</v>
      </c>
      <c r="B54" s="46" t="s">
        <v>68</v>
      </c>
      <c r="C54" s="47"/>
      <c r="D54" s="48"/>
      <c r="E54" s="48">
        <v>0.3</v>
      </c>
      <c r="F54" s="48"/>
      <c r="G54" s="48">
        <v>1.2</v>
      </c>
      <c r="H54" s="48"/>
      <c r="I54" s="49"/>
      <c r="J54" s="50">
        <v>192</v>
      </c>
      <c r="K54" s="35"/>
      <c r="L54" s="35"/>
      <c r="M54" s="35"/>
      <c r="N54" s="35"/>
      <c r="O54" s="35"/>
    </row>
    <row r="55" spans="1:15" ht="16.5" customHeight="1" hidden="1">
      <c r="A55" s="45">
        <v>10</v>
      </c>
      <c r="B55" s="46" t="s">
        <v>69</v>
      </c>
      <c r="C55" s="47"/>
      <c r="D55" s="48"/>
      <c r="E55" s="48"/>
      <c r="F55" s="48"/>
      <c r="G55" s="48"/>
      <c r="H55" s="48"/>
      <c r="I55" s="49"/>
      <c r="J55" s="50"/>
      <c r="K55" s="35"/>
      <c r="L55" s="35"/>
      <c r="M55" s="35"/>
      <c r="N55" s="35"/>
      <c r="O55" s="35"/>
    </row>
    <row r="56" spans="1:15" ht="16.5" customHeight="1" hidden="1">
      <c r="A56" s="45">
        <v>11</v>
      </c>
      <c r="B56" s="51" t="s">
        <v>70</v>
      </c>
      <c r="C56" s="47"/>
      <c r="D56" s="48"/>
      <c r="E56" s="48"/>
      <c r="F56" s="48">
        <v>2.5</v>
      </c>
      <c r="G56" s="48"/>
      <c r="H56" s="48"/>
      <c r="I56" s="49"/>
      <c r="J56" s="50"/>
      <c r="K56" s="35"/>
      <c r="L56" s="35"/>
      <c r="M56" s="35"/>
      <c r="N56" s="35"/>
      <c r="O56" s="35"/>
    </row>
    <row r="57" spans="1:15" ht="16.5" customHeight="1" hidden="1">
      <c r="A57" s="45">
        <v>12</v>
      </c>
      <c r="B57" s="46" t="s">
        <v>71</v>
      </c>
      <c r="C57" s="47"/>
      <c r="D57" s="48"/>
      <c r="E57" s="48"/>
      <c r="F57" s="48">
        <v>3</v>
      </c>
      <c r="G57" s="48"/>
      <c r="H57" s="48"/>
      <c r="I57" s="49"/>
      <c r="J57" s="50"/>
      <c r="K57" s="35"/>
      <c r="L57" s="35"/>
      <c r="M57" s="35"/>
      <c r="N57" s="35"/>
      <c r="O57" s="35"/>
    </row>
    <row r="58" spans="1:15" ht="16.5" customHeight="1" hidden="1">
      <c r="A58" s="45">
        <v>13</v>
      </c>
      <c r="B58" s="46" t="s">
        <v>72</v>
      </c>
      <c r="C58" s="47"/>
      <c r="D58" s="48"/>
      <c r="E58" s="48"/>
      <c r="F58" s="48">
        <v>4.4</v>
      </c>
      <c r="G58" s="48">
        <v>0.4</v>
      </c>
      <c r="H58" s="48"/>
      <c r="I58" s="49"/>
      <c r="J58" s="50">
        <v>45</v>
      </c>
      <c r="K58" s="35"/>
      <c r="L58" s="35"/>
      <c r="M58" s="35"/>
      <c r="N58" s="35"/>
      <c r="O58" s="35"/>
    </row>
    <row r="59" spans="1:15" ht="16.5" customHeight="1" hidden="1">
      <c r="A59" s="45">
        <v>14</v>
      </c>
      <c r="B59" s="51" t="s">
        <v>73</v>
      </c>
      <c r="C59" s="47"/>
      <c r="D59" s="52"/>
      <c r="E59" s="49"/>
      <c r="F59" s="49">
        <v>2</v>
      </c>
      <c r="G59" s="49"/>
      <c r="H59" s="52"/>
      <c r="I59" s="53"/>
      <c r="J59" s="50"/>
      <c r="K59" s="35"/>
      <c r="L59" s="35"/>
      <c r="M59" s="35"/>
      <c r="N59" s="35"/>
      <c r="O59" s="35"/>
    </row>
    <row r="60" spans="1:15" ht="16.5" customHeight="1" hidden="1">
      <c r="A60" s="45">
        <v>15</v>
      </c>
      <c r="B60" s="46" t="s">
        <v>74</v>
      </c>
      <c r="C60" s="47"/>
      <c r="D60" s="48"/>
      <c r="E60" s="48"/>
      <c r="F60" s="48">
        <v>3</v>
      </c>
      <c r="G60" s="48">
        <v>1.2</v>
      </c>
      <c r="H60" s="52"/>
      <c r="I60" s="49"/>
      <c r="J60" s="50">
        <v>180</v>
      </c>
      <c r="K60" s="35"/>
      <c r="L60" s="35"/>
      <c r="M60" s="35"/>
      <c r="N60" s="35"/>
      <c r="O60" s="35"/>
    </row>
    <row r="61" spans="1:15" ht="16.5" customHeight="1" hidden="1">
      <c r="A61" s="45">
        <v>16</v>
      </c>
      <c r="B61" s="46" t="s">
        <v>75</v>
      </c>
      <c r="C61" s="47"/>
      <c r="D61" s="48"/>
      <c r="E61" s="48"/>
      <c r="F61" s="48">
        <v>2</v>
      </c>
      <c r="G61" s="48"/>
      <c r="H61" s="48">
        <v>0.28</v>
      </c>
      <c r="I61" s="49"/>
      <c r="J61" s="50">
        <v>33</v>
      </c>
      <c r="K61" s="35"/>
      <c r="L61" s="35"/>
      <c r="M61" s="35"/>
      <c r="N61" s="35"/>
      <c r="O61" s="35"/>
    </row>
    <row r="62" spans="1:15" ht="16.5" customHeight="1" hidden="1">
      <c r="A62" s="45">
        <v>17</v>
      </c>
      <c r="B62" s="46" t="s">
        <v>76</v>
      </c>
      <c r="C62" s="47"/>
      <c r="D62" s="48"/>
      <c r="E62" s="48"/>
      <c r="F62" s="48"/>
      <c r="G62" s="48"/>
      <c r="H62" s="48"/>
      <c r="I62" s="48"/>
      <c r="J62" s="50"/>
      <c r="K62" s="35"/>
      <c r="L62" s="35"/>
      <c r="M62" s="35"/>
      <c r="N62" s="35"/>
      <c r="O62" s="35"/>
    </row>
    <row r="63" spans="1:15" ht="16.5" customHeight="1" hidden="1">
      <c r="A63" s="45">
        <v>18</v>
      </c>
      <c r="B63" s="46" t="s">
        <v>77</v>
      </c>
      <c r="C63" s="47"/>
      <c r="D63" s="48"/>
      <c r="E63" s="48"/>
      <c r="F63" s="48">
        <v>2</v>
      </c>
      <c r="G63" s="48">
        <v>0.55</v>
      </c>
      <c r="H63" s="48"/>
      <c r="I63" s="49"/>
      <c r="J63" s="50">
        <v>61.4</v>
      </c>
      <c r="K63" s="35"/>
      <c r="L63" s="35"/>
      <c r="M63" s="35"/>
      <c r="N63" s="35"/>
      <c r="O63" s="35"/>
    </row>
    <row r="64" spans="1:15" ht="16.5" customHeight="1" hidden="1">
      <c r="A64" s="45">
        <v>19</v>
      </c>
      <c r="B64" s="46" t="s">
        <v>78</v>
      </c>
      <c r="C64" s="47"/>
      <c r="D64" s="48"/>
      <c r="E64" s="48"/>
      <c r="F64" s="48">
        <v>1.5</v>
      </c>
      <c r="G64" s="48"/>
      <c r="H64" s="48"/>
      <c r="I64" s="49"/>
      <c r="J64" s="50"/>
      <c r="K64" s="35"/>
      <c r="L64" s="35"/>
      <c r="M64" s="35"/>
      <c r="N64" s="35"/>
      <c r="O64" s="35"/>
    </row>
    <row r="65" spans="1:15" ht="16.5" customHeight="1" hidden="1">
      <c r="A65" s="45">
        <v>20</v>
      </c>
      <c r="B65" s="46" t="s">
        <v>79</v>
      </c>
      <c r="C65" s="47"/>
      <c r="D65" s="48"/>
      <c r="E65" s="48"/>
      <c r="F65" s="48">
        <v>3</v>
      </c>
      <c r="G65" s="48"/>
      <c r="H65" s="48"/>
      <c r="I65" s="49"/>
      <c r="J65" s="50">
        <v>180</v>
      </c>
      <c r="K65" s="35"/>
      <c r="L65" s="35"/>
      <c r="M65" s="35"/>
      <c r="N65" s="35"/>
      <c r="O65" s="35"/>
    </row>
    <row r="66" spans="1:15" ht="16.5" customHeight="1" hidden="1">
      <c r="A66" s="45">
        <v>21</v>
      </c>
      <c r="B66" s="46" t="s">
        <v>80</v>
      </c>
      <c r="C66" s="47"/>
      <c r="D66" s="48"/>
      <c r="E66" s="48"/>
      <c r="F66" s="48"/>
      <c r="G66" s="48"/>
      <c r="H66" s="48"/>
      <c r="I66" s="48"/>
      <c r="J66" s="50"/>
      <c r="K66" s="35"/>
      <c r="L66" s="35"/>
      <c r="M66" s="35"/>
      <c r="N66" s="35"/>
      <c r="O66" s="35"/>
    </row>
    <row r="67" spans="1:15" ht="16.5" customHeight="1" hidden="1">
      <c r="A67" s="45">
        <v>22</v>
      </c>
      <c r="B67" s="46" t="s">
        <v>81</v>
      </c>
      <c r="C67" s="47"/>
      <c r="D67" s="48"/>
      <c r="E67" s="48"/>
      <c r="F67" s="48">
        <v>1</v>
      </c>
      <c r="G67" s="48"/>
      <c r="H67" s="48"/>
      <c r="I67" s="48"/>
      <c r="J67" s="50"/>
      <c r="K67" s="35"/>
      <c r="L67" s="35"/>
      <c r="M67" s="35"/>
      <c r="N67" s="35"/>
      <c r="O67" s="35"/>
    </row>
    <row r="68" spans="1:15" ht="16.5" customHeight="1" hidden="1">
      <c r="A68" s="45">
        <v>23</v>
      </c>
      <c r="B68" s="46" t="s">
        <v>82</v>
      </c>
      <c r="C68" s="47"/>
      <c r="D68" s="48"/>
      <c r="E68" s="48"/>
      <c r="F68" s="48"/>
      <c r="G68" s="48"/>
      <c r="H68" s="48"/>
      <c r="I68" s="49"/>
      <c r="J68" s="50"/>
      <c r="K68" s="35"/>
      <c r="L68" s="35"/>
      <c r="M68" s="35"/>
      <c r="N68" s="35"/>
      <c r="O68" s="35"/>
    </row>
    <row r="69" spans="1:15" ht="16.5" customHeight="1" hidden="1">
      <c r="A69" s="45">
        <v>24</v>
      </c>
      <c r="B69" s="46" t="s">
        <v>83</v>
      </c>
      <c r="C69" s="47"/>
      <c r="D69" s="48"/>
      <c r="E69" s="48"/>
      <c r="F69" s="48"/>
      <c r="G69" s="48"/>
      <c r="H69" s="48"/>
      <c r="I69" s="49"/>
      <c r="J69" s="50"/>
      <c r="K69" s="35"/>
      <c r="L69" s="35"/>
      <c r="M69" s="35"/>
      <c r="N69" s="35"/>
      <c r="O69" s="35"/>
    </row>
    <row r="70" spans="1:15" ht="16.5" customHeight="1" hidden="1">
      <c r="A70" s="54">
        <v>25</v>
      </c>
      <c r="B70" s="55" t="s">
        <v>84</v>
      </c>
      <c r="C70" s="47"/>
      <c r="D70" s="56"/>
      <c r="E70" s="56">
        <v>0.3</v>
      </c>
      <c r="F70" s="56">
        <v>2</v>
      </c>
      <c r="G70" s="56"/>
      <c r="H70" s="56">
        <v>0.3</v>
      </c>
      <c r="I70" s="57"/>
      <c r="J70" s="50">
        <v>87</v>
      </c>
      <c r="K70" s="35"/>
      <c r="L70" s="35"/>
      <c r="M70" s="35"/>
      <c r="N70" s="35"/>
      <c r="O70" s="35"/>
    </row>
    <row r="71" spans="1:15" ht="16.5" customHeight="1" hidden="1">
      <c r="A71" s="54">
        <v>26</v>
      </c>
      <c r="B71" s="55" t="s">
        <v>85</v>
      </c>
      <c r="C71" s="47"/>
      <c r="D71" s="48"/>
      <c r="E71" s="48"/>
      <c r="F71" s="48"/>
      <c r="G71" s="48"/>
      <c r="H71" s="48"/>
      <c r="I71" s="49"/>
      <c r="J71" s="50"/>
      <c r="K71" s="35"/>
      <c r="L71" s="35"/>
      <c r="M71" s="35"/>
      <c r="N71" s="35"/>
      <c r="O71" s="35"/>
    </row>
    <row r="72" spans="1:15" ht="16.5" customHeight="1" hidden="1">
      <c r="A72" s="54">
        <v>27</v>
      </c>
      <c r="B72" s="58" t="s">
        <v>86</v>
      </c>
      <c r="C72" s="59"/>
      <c r="D72" s="60"/>
      <c r="E72" s="60"/>
      <c r="F72" s="60"/>
      <c r="G72" s="60"/>
      <c r="H72" s="60"/>
      <c r="I72" s="60"/>
      <c r="J72" s="61"/>
      <c r="K72" s="35"/>
      <c r="L72" s="35"/>
      <c r="M72" s="35"/>
      <c r="N72" s="35"/>
      <c r="O72" s="35"/>
    </row>
    <row r="73" spans="1:15" ht="16.5" customHeight="1" hidden="1">
      <c r="A73" s="62"/>
      <c r="B73" s="31" t="s">
        <v>87</v>
      </c>
      <c r="C73" s="63">
        <f>D73+E73+G73+H73</f>
        <v>13.11</v>
      </c>
      <c r="D73" s="63">
        <f aca="true" t="shared" si="5" ref="D73:J73">SUM(D46:D72)</f>
        <v>0.3</v>
      </c>
      <c r="E73" s="63">
        <f t="shared" si="5"/>
        <v>2.7499999999999996</v>
      </c>
      <c r="F73" s="63">
        <f t="shared" si="5"/>
        <v>48.9</v>
      </c>
      <c r="G73" s="63">
        <f t="shared" si="5"/>
        <v>9.48</v>
      </c>
      <c r="H73" s="63">
        <f t="shared" si="5"/>
        <v>0.5800000000000001</v>
      </c>
      <c r="I73" s="63">
        <f t="shared" si="5"/>
        <v>0</v>
      </c>
      <c r="J73" s="63">
        <f t="shared" si="5"/>
        <v>1976.4</v>
      </c>
      <c r="K73" s="35"/>
      <c r="L73" s="35"/>
      <c r="M73" s="35"/>
      <c r="N73" s="35"/>
      <c r="O73" s="35"/>
    </row>
    <row r="74" spans="1:15" ht="16.5" customHeight="1" hidden="1">
      <c r="A74" s="34"/>
      <c r="B74" s="692" t="s">
        <v>88</v>
      </c>
      <c r="C74" s="693"/>
      <c r="D74" s="693"/>
      <c r="E74" s="693"/>
      <c r="F74" s="693"/>
      <c r="G74" s="693"/>
      <c r="H74" s="693"/>
      <c r="I74" s="693"/>
      <c r="J74" s="693"/>
      <c r="K74" s="35"/>
      <c r="L74" s="35"/>
      <c r="M74" s="35"/>
      <c r="N74" s="35"/>
      <c r="O74" s="35"/>
    </row>
    <row r="75" spans="1:15" ht="16.5" customHeight="1">
      <c r="A75" s="34"/>
      <c r="B75" s="36"/>
      <c r="C75" s="37"/>
      <c r="D75" s="37"/>
      <c r="E75" s="37"/>
      <c r="F75" s="37"/>
      <c r="G75" s="37"/>
      <c r="H75" s="37"/>
      <c r="I75" s="37"/>
      <c r="J75" s="37"/>
      <c r="K75" s="35"/>
      <c r="L75" s="35"/>
      <c r="M75" s="35"/>
      <c r="N75" s="35"/>
      <c r="O75" s="35"/>
    </row>
    <row r="76" spans="1:15" ht="16.5" customHeight="1">
      <c r="A76" s="34"/>
      <c r="B76" s="36"/>
      <c r="C76" s="37"/>
      <c r="D76" s="37"/>
      <c r="E76" s="37"/>
      <c r="F76" s="37"/>
      <c r="G76" s="37"/>
      <c r="H76" s="37"/>
      <c r="I76" s="37"/>
      <c r="J76" s="37"/>
      <c r="K76" s="35"/>
      <c r="L76" s="35"/>
      <c r="M76" s="35"/>
      <c r="N76" s="35"/>
      <c r="O76" s="35"/>
    </row>
    <row r="77" spans="1:15" ht="16.5" customHeight="1">
      <c r="A77" s="34"/>
      <c r="B77" s="36"/>
      <c r="C77" s="37"/>
      <c r="D77" s="37"/>
      <c r="E77" s="37"/>
      <c r="F77" s="37"/>
      <c r="G77" s="37"/>
      <c r="H77" s="37"/>
      <c r="I77" s="37"/>
      <c r="J77" s="37"/>
      <c r="K77" s="35"/>
      <c r="L77" s="35"/>
      <c r="M77" s="35"/>
      <c r="N77" s="35"/>
      <c r="O77" s="35"/>
    </row>
    <row r="78" spans="1:15" ht="16.5" customHeight="1">
      <c r="A78" s="34"/>
      <c r="B78" s="36"/>
      <c r="C78" s="37"/>
      <c r="D78" s="37"/>
      <c r="E78" s="37"/>
      <c r="F78" s="37"/>
      <c r="G78" s="37"/>
      <c r="H78" s="37"/>
      <c r="I78" s="37"/>
      <c r="J78" s="37"/>
      <c r="K78" s="35"/>
      <c r="L78" s="35"/>
      <c r="M78" s="35"/>
      <c r="N78" s="35"/>
      <c r="O78" s="35"/>
    </row>
    <row r="79" spans="1:15" ht="16.5" customHeight="1">
      <c r="A79" s="34"/>
      <c r="B79" s="36"/>
      <c r="C79" s="37"/>
      <c r="D79" s="37"/>
      <c r="E79" s="37"/>
      <c r="F79" s="37"/>
      <c r="G79" s="37"/>
      <c r="H79" s="37"/>
      <c r="I79" s="37"/>
      <c r="J79" s="37"/>
      <c r="K79" s="35"/>
      <c r="L79" s="35"/>
      <c r="M79" s="35"/>
      <c r="N79" s="35"/>
      <c r="O79" s="35"/>
    </row>
    <row r="80" spans="1:15" ht="16.5" customHeight="1">
      <c r="A80" s="34"/>
      <c r="B80" s="36"/>
      <c r="C80" s="37"/>
      <c r="D80" s="37"/>
      <c r="E80" s="37"/>
      <c r="F80" s="37"/>
      <c r="G80" s="37"/>
      <c r="H80" s="37"/>
      <c r="I80" s="37"/>
      <c r="J80" s="37"/>
      <c r="K80" s="35"/>
      <c r="L80" s="35"/>
      <c r="M80" s="35"/>
      <c r="N80" s="35"/>
      <c r="O80" s="35"/>
    </row>
    <row r="81" spans="1:15" ht="16.5" customHeight="1">
      <c r="A81" s="34"/>
      <c r="B81" s="36"/>
      <c r="C81" s="37"/>
      <c r="D81" s="37"/>
      <c r="E81" s="37"/>
      <c r="F81" s="37"/>
      <c r="G81" s="37"/>
      <c r="H81" s="37"/>
      <c r="I81" s="37"/>
      <c r="J81" s="37"/>
      <c r="K81" s="35"/>
      <c r="L81" s="35"/>
      <c r="M81" s="35"/>
      <c r="N81" s="35"/>
      <c r="O81" s="35"/>
    </row>
    <row r="82" spans="1:15" ht="16.5" customHeight="1">
      <c r="A82" s="34"/>
      <c r="B82" s="36"/>
      <c r="C82" s="37"/>
      <c r="D82" s="37"/>
      <c r="E82" s="37"/>
      <c r="F82" s="37"/>
      <c r="G82" s="37"/>
      <c r="H82" s="37"/>
      <c r="I82" s="37"/>
      <c r="J82" s="37"/>
      <c r="K82" s="35"/>
      <c r="L82" s="35"/>
      <c r="M82" s="35"/>
      <c r="N82" s="35"/>
      <c r="O82" s="35"/>
    </row>
    <row r="83" spans="1:15" ht="16.5" customHeight="1">
      <c r="A83" s="34"/>
      <c r="B83" s="36"/>
      <c r="C83" s="37"/>
      <c r="D83" s="37"/>
      <c r="E83" s="37"/>
      <c r="F83" s="37"/>
      <c r="G83" s="37"/>
      <c r="H83" s="37"/>
      <c r="I83" s="37"/>
      <c r="J83" s="37"/>
      <c r="K83" s="35"/>
      <c r="L83" s="35"/>
      <c r="M83" s="35"/>
      <c r="N83" s="35"/>
      <c r="O83" s="35"/>
    </row>
    <row r="84" spans="1:15" ht="16.5" customHeight="1">
      <c r="A84" s="34"/>
      <c r="B84" s="36"/>
      <c r="C84" s="37"/>
      <c r="D84" s="37"/>
      <c r="E84" s="37"/>
      <c r="F84" s="37"/>
      <c r="G84" s="37"/>
      <c r="H84" s="37"/>
      <c r="I84" s="37"/>
      <c r="J84" s="37"/>
      <c r="K84" s="35"/>
      <c r="L84" s="35"/>
      <c r="M84" s="35"/>
      <c r="N84" s="35"/>
      <c r="O84" s="35"/>
    </row>
    <row r="85" spans="1:15" ht="16.5" customHeight="1">
      <c r="A85" s="34"/>
      <c r="B85" s="36"/>
      <c r="C85" s="37"/>
      <c r="D85" s="37"/>
      <c r="E85" s="37"/>
      <c r="F85" s="37"/>
      <c r="G85" s="37"/>
      <c r="H85" s="37"/>
      <c r="I85" s="37"/>
      <c r="J85" s="37"/>
      <c r="K85" s="35"/>
      <c r="L85" s="35"/>
      <c r="M85" s="35"/>
      <c r="N85" s="35"/>
      <c r="O85" s="35"/>
    </row>
    <row r="86" spans="1:15" ht="16.5" customHeight="1">
      <c r="A86" s="34"/>
      <c r="B86" s="36"/>
      <c r="C86" s="37"/>
      <c r="D86" s="37"/>
      <c r="E86" s="37"/>
      <c r="F86" s="37"/>
      <c r="G86" s="37"/>
      <c r="H86" s="37"/>
      <c r="I86" s="37"/>
      <c r="J86" s="37"/>
      <c r="K86" s="35"/>
      <c r="L86" s="35"/>
      <c r="M86" s="35"/>
      <c r="N86" s="35"/>
      <c r="O86" s="35"/>
    </row>
    <row r="87" spans="1:15" ht="16.5" customHeight="1">
      <c r="A87" s="34"/>
      <c r="B87" s="36"/>
      <c r="C87" s="37"/>
      <c r="D87" s="37"/>
      <c r="E87" s="37"/>
      <c r="F87" s="37"/>
      <c r="G87" s="37"/>
      <c r="H87" s="37"/>
      <c r="I87" s="37"/>
      <c r="J87" s="37"/>
      <c r="K87" s="35"/>
      <c r="L87" s="35"/>
      <c r="M87" s="35"/>
      <c r="N87" s="35"/>
      <c r="O87" s="35"/>
    </row>
    <row r="88" spans="1:15" ht="16.5" customHeight="1">
      <c r="A88" s="34"/>
      <c r="B88" s="36"/>
      <c r="C88" s="37"/>
      <c r="D88" s="37"/>
      <c r="E88" s="37"/>
      <c r="F88" s="37"/>
      <c r="G88" s="37"/>
      <c r="H88" s="37"/>
      <c r="I88" s="37"/>
      <c r="J88" s="37"/>
      <c r="K88" s="35"/>
      <c r="L88" s="35"/>
      <c r="M88" s="35"/>
      <c r="N88" s="35"/>
      <c r="O88" s="35"/>
    </row>
    <row r="89" spans="1:15" ht="16.5" customHeight="1">
      <c r="A89" s="34"/>
      <c r="B89" s="36"/>
      <c r="C89" s="37"/>
      <c r="D89" s="37"/>
      <c r="E89" s="37"/>
      <c r="F89" s="37"/>
      <c r="G89" s="37"/>
      <c r="H89" s="37"/>
      <c r="I89" s="37"/>
      <c r="J89" s="37"/>
      <c r="K89" s="35"/>
      <c r="L89" s="35"/>
      <c r="M89" s="35"/>
      <c r="N89" s="35"/>
      <c r="O89" s="35"/>
    </row>
    <row r="90" spans="1:15" ht="16.5" customHeight="1">
      <c r="A90" s="34"/>
      <c r="B90" s="36"/>
      <c r="C90" s="37"/>
      <c r="D90" s="37"/>
      <c r="E90" s="37"/>
      <c r="F90" s="37"/>
      <c r="G90" s="37"/>
      <c r="H90" s="37"/>
      <c r="I90" s="37"/>
      <c r="J90" s="37"/>
      <c r="K90" s="35"/>
      <c r="L90" s="35"/>
      <c r="M90" s="35"/>
      <c r="N90" s="35"/>
      <c r="O90" s="35"/>
    </row>
    <row r="91" spans="1:15" ht="16.5" customHeight="1">
      <c r="A91" s="34"/>
      <c r="B91" s="36"/>
      <c r="C91" s="37"/>
      <c r="D91" s="37"/>
      <c r="E91" s="37"/>
      <c r="F91" s="37"/>
      <c r="G91" s="37"/>
      <c r="H91" s="37"/>
      <c r="I91" s="37"/>
      <c r="J91" s="37"/>
      <c r="K91" s="35"/>
      <c r="L91" s="35"/>
      <c r="M91" s="35"/>
      <c r="N91" s="35"/>
      <c r="O91" s="35"/>
    </row>
    <row r="92" spans="1:15" ht="16.5" customHeight="1">
      <c r="A92" s="34"/>
      <c r="B92" s="36"/>
      <c r="C92" s="37"/>
      <c r="D92" s="37"/>
      <c r="E92" s="37"/>
      <c r="F92" s="37"/>
      <c r="G92" s="37"/>
      <c r="H92" s="37"/>
      <c r="I92" s="37"/>
      <c r="J92" s="37"/>
      <c r="K92" s="35"/>
      <c r="L92" s="35"/>
      <c r="M92" s="35"/>
      <c r="N92" s="35"/>
      <c r="O92" s="35"/>
    </row>
    <row r="93" spans="1:15" ht="16.5" customHeight="1">
      <c r="A93" s="34"/>
      <c r="B93" s="36"/>
      <c r="C93" s="37"/>
      <c r="D93" s="37"/>
      <c r="E93" s="37"/>
      <c r="F93" s="37"/>
      <c r="G93" s="37"/>
      <c r="H93" s="37"/>
      <c r="I93" s="37"/>
      <c r="J93" s="37"/>
      <c r="K93" s="35"/>
      <c r="L93" s="35"/>
      <c r="M93" s="35"/>
      <c r="N93" s="35"/>
      <c r="O93" s="35"/>
    </row>
    <row r="94" spans="1:15" ht="16.5" customHeight="1">
      <c r="A94" s="34"/>
      <c r="B94" s="36"/>
      <c r="C94" s="37"/>
      <c r="D94" s="37"/>
      <c r="E94" s="37"/>
      <c r="F94" s="37"/>
      <c r="G94" s="37"/>
      <c r="H94" s="37"/>
      <c r="I94" s="37"/>
      <c r="J94" s="37"/>
      <c r="K94" s="35"/>
      <c r="L94" s="35"/>
      <c r="M94" s="35"/>
      <c r="N94" s="35"/>
      <c r="O94" s="35"/>
    </row>
    <row r="95" spans="1:15" ht="16.5" customHeight="1">
      <c r="A95" s="34"/>
      <c r="B95" s="36"/>
      <c r="C95" s="37"/>
      <c r="D95" s="37"/>
      <c r="E95" s="37"/>
      <c r="F95" s="37"/>
      <c r="G95" s="37"/>
      <c r="H95" s="37"/>
      <c r="I95" s="37"/>
      <c r="J95" s="37"/>
      <c r="K95" s="35"/>
      <c r="L95" s="35"/>
      <c r="M95" s="35"/>
      <c r="N95" s="35"/>
      <c r="O95" s="35"/>
    </row>
    <row r="96" spans="1:15" ht="16.5" customHeight="1">
      <c r="A96" s="34"/>
      <c r="B96" s="36"/>
      <c r="C96" s="37"/>
      <c r="D96" s="37"/>
      <c r="E96" s="37"/>
      <c r="F96" s="37"/>
      <c r="G96" s="37"/>
      <c r="H96" s="37"/>
      <c r="I96" s="37"/>
      <c r="J96" s="37"/>
      <c r="K96" s="35"/>
      <c r="L96" s="35"/>
      <c r="M96" s="35"/>
      <c r="N96" s="35"/>
      <c r="O96" s="35"/>
    </row>
    <row r="97" spans="1:15" ht="16.5" customHeight="1">
      <c r="A97" s="34"/>
      <c r="B97" s="36"/>
      <c r="C97" s="37"/>
      <c r="D97" s="37"/>
      <c r="E97" s="37"/>
      <c r="F97" s="37"/>
      <c r="G97" s="37"/>
      <c r="H97" s="37"/>
      <c r="I97" s="37"/>
      <c r="J97" s="37"/>
      <c r="K97" s="35"/>
      <c r="L97" s="35"/>
      <c r="M97" s="35"/>
      <c r="N97" s="35"/>
      <c r="O97" s="35"/>
    </row>
    <row r="98" spans="1:15" ht="16.5" customHeight="1">
      <c r="A98" s="34"/>
      <c r="B98" s="36"/>
      <c r="C98" s="37"/>
      <c r="D98" s="37"/>
      <c r="E98" s="37"/>
      <c r="F98" s="37"/>
      <c r="G98" s="37"/>
      <c r="H98" s="37"/>
      <c r="I98" s="37"/>
      <c r="J98" s="37"/>
      <c r="K98" s="35"/>
      <c r="L98" s="35"/>
      <c r="M98" s="35"/>
      <c r="N98" s="35"/>
      <c r="O98" s="35"/>
    </row>
    <row r="99" spans="1:15" ht="16.5" customHeight="1">
      <c r="A99" s="34"/>
      <c r="B99" s="36"/>
      <c r="C99" s="37"/>
      <c r="D99" s="37"/>
      <c r="E99" s="37"/>
      <c r="F99" s="37"/>
      <c r="G99" s="37"/>
      <c r="H99" s="37"/>
      <c r="I99" s="37"/>
      <c r="J99" s="37"/>
      <c r="K99" s="35"/>
      <c r="L99" s="35"/>
      <c r="M99" s="35"/>
      <c r="N99" s="35"/>
      <c r="O99" s="35"/>
    </row>
    <row r="100" spans="1:15" ht="16.5" customHeight="1">
      <c r="A100" s="34"/>
      <c r="B100" s="36"/>
      <c r="C100" s="37"/>
      <c r="D100" s="37"/>
      <c r="E100" s="37"/>
      <c r="F100" s="37"/>
      <c r="G100" s="37"/>
      <c r="H100" s="37"/>
      <c r="I100" s="37"/>
      <c r="J100" s="37"/>
      <c r="K100" s="35"/>
      <c r="L100" s="35"/>
      <c r="M100" s="35"/>
      <c r="N100" s="35"/>
      <c r="O100" s="35"/>
    </row>
    <row r="101" spans="1:15" ht="16.5" customHeight="1">
      <c r="A101" s="34"/>
      <c r="B101" s="36"/>
      <c r="C101" s="37"/>
      <c r="D101" s="37"/>
      <c r="E101" s="37"/>
      <c r="F101" s="37"/>
      <c r="G101" s="37"/>
      <c r="H101" s="37"/>
      <c r="I101" s="37"/>
      <c r="J101" s="37"/>
      <c r="K101" s="35"/>
      <c r="L101" s="35"/>
      <c r="M101" s="35"/>
      <c r="N101" s="35"/>
      <c r="O101" s="35"/>
    </row>
    <row r="102" spans="1:15" ht="16.5" customHeight="1">
      <c r="A102" s="34"/>
      <c r="B102" s="36"/>
      <c r="C102" s="37"/>
      <c r="D102" s="37"/>
      <c r="E102" s="37"/>
      <c r="F102" s="37"/>
      <c r="G102" s="37"/>
      <c r="H102" s="37"/>
      <c r="I102" s="37"/>
      <c r="J102" s="37"/>
      <c r="K102" s="35"/>
      <c r="L102" s="35"/>
      <c r="M102" s="35"/>
      <c r="N102" s="35"/>
      <c r="O102" s="35"/>
    </row>
    <row r="103" spans="1:10" ht="16.5" customHeight="1">
      <c r="A103" s="64"/>
      <c r="B103" s="65"/>
      <c r="C103" s="65"/>
      <c r="D103" s="65"/>
      <c r="E103" s="65"/>
      <c r="F103" s="65"/>
      <c r="G103" s="65"/>
      <c r="H103" s="64"/>
      <c r="I103" s="64"/>
      <c r="J103" s="66"/>
    </row>
    <row r="104" spans="1:10" ht="16.5" customHeight="1">
      <c r="A104" s="64"/>
      <c r="B104" s="65"/>
      <c r="C104" s="65"/>
      <c r="D104" s="65"/>
      <c r="E104" s="65"/>
      <c r="F104" s="65"/>
      <c r="G104" s="65"/>
      <c r="H104" s="64"/>
      <c r="I104" s="64"/>
      <c r="J104" s="66"/>
    </row>
    <row r="105" spans="1:10" ht="16.5" customHeight="1">
      <c r="A105" s="64"/>
      <c r="B105" s="65"/>
      <c r="C105" s="65"/>
      <c r="D105" s="65"/>
      <c r="E105" s="65"/>
      <c r="F105" s="65"/>
      <c r="G105" s="65"/>
      <c r="H105" s="64"/>
      <c r="I105" s="64"/>
      <c r="J105" s="66"/>
    </row>
    <row r="106" spans="1:10" ht="16.5" customHeight="1">
      <c r="A106" s="64"/>
      <c r="B106" s="65"/>
      <c r="C106" s="65"/>
      <c r="D106" s="65"/>
      <c r="E106" s="65"/>
      <c r="F106" s="65"/>
      <c r="G106" s="65"/>
      <c r="H106" s="64"/>
      <c r="I106" s="64"/>
      <c r="J106" s="66"/>
    </row>
    <row r="107" spans="1:10" ht="16.5" customHeight="1">
      <c r="A107" s="64"/>
      <c r="B107" s="65"/>
      <c r="C107" s="65"/>
      <c r="D107" s="65"/>
      <c r="E107" s="65"/>
      <c r="F107" s="65"/>
      <c r="G107" s="65"/>
      <c r="H107" s="64"/>
      <c r="I107" s="64"/>
      <c r="J107" s="66"/>
    </row>
    <row r="108" spans="1:10" ht="16.5" customHeight="1">
      <c r="A108" s="64"/>
      <c r="B108" s="65"/>
      <c r="C108" s="65"/>
      <c r="D108" s="65"/>
      <c r="E108" s="65"/>
      <c r="F108" s="65"/>
      <c r="G108" s="65"/>
      <c r="H108" s="64"/>
      <c r="I108" s="64"/>
      <c r="J108" s="66"/>
    </row>
    <row r="109" spans="1:10" ht="16.5" customHeight="1">
      <c r="A109" s="64"/>
      <c r="B109" s="65"/>
      <c r="C109" s="65"/>
      <c r="D109" s="65"/>
      <c r="E109" s="65"/>
      <c r="F109" s="65"/>
      <c r="G109" s="65"/>
      <c r="H109" s="64"/>
      <c r="I109" s="64"/>
      <c r="J109" s="66"/>
    </row>
    <row r="110" spans="1:10" ht="16.5" customHeight="1">
      <c r="A110" s="64"/>
      <c r="B110" s="65"/>
      <c r="C110" s="65"/>
      <c r="D110" s="65"/>
      <c r="E110" s="65"/>
      <c r="F110" s="65"/>
      <c r="G110" s="65"/>
      <c r="H110" s="64"/>
      <c r="I110" s="64"/>
      <c r="J110" s="66"/>
    </row>
    <row r="111" spans="1:10" ht="16.5" customHeight="1">
      <c r="A111" s="64"/>
      <c r="B111" s="65"/>
      <c r="C111" s="65"/>
      <c r="D111" s="65"/>
      <c r="E111" s="65"/>
      <c r="F111" s="65"/>
      <c r="G111" s="65"/>
      <c r="H111" s="64"/>
      <c r="I111" s="64"/>
      <c r="J111" s="66"/>
    </row>
    <row r="112" spans="1:10" ht="16.5" customHeight="1">
      <c r="A112" s="64"/>
      <c r="B112" s="65"/>
      <c r="C112" s="65"/>
      <c r="D112" s="65"/>
      <c r="E112" s="65"/>
      <c r="F112" s="65"/>
      <c r="G112" s="65"/>
      <c r="H112" s="64"/>
      <c r="I112" s="64"/>
      <c r="J112" s="66"/>
    </row>
    <row r="113" spans="1:10" ht="16.5" customHeight="1">
      <c r="A113" s="64"/>
      <c r="B113" s="65"/>
      <c r="C113" s="65"/>
      <c r="D113" s="65"/>
      <c r="E113" s="65"/>
      <c r="F113" s="65"/>
      <c r="G113" s="65"/>
      <c r="H113" s="64"/>
      <c r="I113" s="64"/>
      <c r="J113" s="66"/>
    </row>
    <row r="114" spans="1:10" ht="16.5" customHeight="1">
      <c r="A114" s="64"/>
      <c r="B114" s="65"/>
      <c r="C114" s="65"/>
      <c r="D114" s="65"/>
      <c r="E114" s="65"/>
      <c r="F114" s="65"/>
      <c r="G114" s="65"/>
      <c r="H114" s="64"/>
      <c r="I114" s="64"/>
      <c r="J114" s="66"/>
    </row>
    <row r="115" spans="1:10" ht="16.5" customHeight="1">
      <c r="A115" s="64"/>
      <c r="B115" s="65"/>
      <c r="C115" s="65"/>
      <c r="D115" s="65"/>
      <c r="E115" s="65"/>
      <c r="F115" s="65"/>
      <c r="G115" s="65"/>
      <c r="H115" s="64"/>
      <c r="I115" s="64"/>
      <c r="J115" s="66"/>
    </row>
    <row r="116" spans="1:10" ht="16.5" customHeight="1">
      <c r="A116" s="64"/>
      <c r="B116" s="65"/>
      <c r="C116" s="65"/>
      <c r="D116" s="65"/>
      <c r="E116" s="65"/>
      <c r="F116" s="65"/>
      <c r="G116" s="65"/>
      <c r="H116" s="64"/>
      <c r="I116" s="64"/>
      <c r="J116" s="66"/>
    </row>
    <row r="117" spans="1:10" ht="16.5" customHeight="1">
      <c r="A117" s="64"/>
      <c r="B117" s="65"/>
      <c r="C117" s="65"/>
      <c r="D117" s="65"/>
      <c r="E117" s="65"/>
      <c r="F117" s="65"/>
      <c r="G117" s="65"/>
      <c r="H117" s="64"/>
      <c r="I117" s="64"/>
      <c r="J117" s="66"/>
    </row>
    <row r="118" spans="1:10" ht="16.5" customHeight="1">
      <c r="A118" s="64"/>
      <c r="B118" s="65"/>
      <c r="C118" s="65"/>
      <c r="D118" s="65"/>
      <c r="E118" s="65"/>
      <c r="F118" s="65"/>
      <c r="G118" s="65"/>
      <c r="H118" s="64"/>
      <c r="I118" s="64"/>
      <c r="J118" s="66"/>
    </row>
    <row r="119" spans="1:10" ht="16.5" customHeight="1">
      <c r="A119" s="64"/>
      <c r="B119" s="65"/>
      <c r="C119" s="65"/>
      <c r="D119" s="65"/>
      <c r="E119" s="65"/>
      <c r="F119" s="65"/>
      <c r="G119" s="65"/>
      <c r="H119" s="64"/>
      <c r="I119" s="64"/>
      <c r="J119" s="66"/>
    </row>
    <row r="120" spans="1:10" ht="16.5" customHeight="1">
      <c r="A120" s="64"/>
      <c r="B120" s="65"/>
      <c r="C120" s="65"/>
      <c r="D120" s="65"/>
      <c r="E120" s="65"/>
      <c r="F120" s="65"/>
      <c r="G120" s="65"/>
      <c r="H120" s="64"/>
      <c r="I120" s="64"/>
      <c r="J120" s="66"/>
    </row>
    <row r="121" spans="1:10" ht="16.5" customHeight="1">
      <c r="A121" s="64"/>
      <c r="B121" s="65"/>
      <c r="C121" s="65"/>
      <c r="D121" s="65"/>
      <c r="E121" s="65"/>
      <c r="F121" s="65"/>
      <c r="G121" s="65"/>
      <c r="H121" s="64"/>
      <c r="I121" s="64"/>
      <c r="J121" s="66"/>
    </row>
    <row r="122" spans="1:10" ht="16.5" customHeight="1">
      <c r="A122" s="64"/>
      <c r="B122" s="65"/>
      <c r="C122" s="65"/>
      <c r="D122" s="65"/>
      <c r="E122" s="65"/>
      <c r="F122" s="65"/>
      <c r="G122" s="65"/>
      <c r="H122" s="64"/>
      <c r="I122" s="64"/>
      <c r="J122" s="66"/>
    </row>
    <row r="123" spans="1:10" ht="16.5" customHeight="1">
      <c r="A123" s="64"/>
      <c r="B123" s="65"/>
      <c r="C123" s="65"/>
      <c r="D123" s="65"/>
      <c r="E123" s="65"/>
      <c r="F123" s="65"/>
      <c r="G123" s="65"/>
      <c r="H123" s="64"/>
      <c r="I123" s="64"/>
      <c r="J123" s="66"/>
    </row>
    <row r="124" spans="1:10" ht="16.5" customHeight="1">
      <c r="A124" s="64"/>
      <c r="B124" s="65"/>
      <c r="C124" s="65"/>
      <c r="D124" s="65"/>
      <c r="E124" s="65"/>
      <c r="F124" s="65"/>
      <c r="G124" s="65"/>
      <c r="H124" s="64"/>
      <c r="I124" s="64"/>
      <c r="J124" s="66"/>
    </row>
    <row r="125" spans="1:10" ht="16.5" customHeight="1">
      <c r="A125" s="64"/>
      <c r="B125" s="65"/>
      <c r="C125" s="65"/>
      <c r="D125" s="65"/>
      <c r="E125" s="65"/>
      <c r="F125" s="65"/>
      <c r="G125" s="65"/>
      <c r="H125" s="64"/>
      <c r="I125" s="64"/>
      <c r="J125" s="66"/>
    </row>
    <row r="126" spans="1:10" ht="16.5" customHeight="1">
      <c r="A126" s="64"/>
      <c r="B126" s="65"/>
      <c r="C126" s="65"/>
      <c r="D126" s="65"/>
      <c r="E126" s="65"/>
      <c r="F126" s="65"/>
      <c r="G126" s="65"/>
      <c r="H126" s="64"/>
      <c r="I126" s="64"/>
      <c r="J126" s="66"/>
    </row>
    <row r="127" spans="1:10" ht="16.5" customHeight="1">
      <c r="A127" s="64"/>
      <c r="B127" s="65"/>
      <c r="C127" s="65"/>
      <c r="D127" s="65"/>
      <c r="E127" s="65"/>
      <c r="F127" s="65"/>
      <c r="G127" s="65"/>
      <c r="H127" s="64"/>
      <c r="I127" s="64"/>
      <c r="J127" s="66"/>
    </row>
    <row r="128" spans="1:10" ht="16.5" customHeight="1">
      <c r="A128" s="64"/>
      <c r="B128" s="67"/>
      <c r="C128" s="64"/>
      <c r="D128" s="65"/>
      <c r="E128" s="65"/>
      <c r="F128" s="65"/>
      <c r="G128" s="65"/>
      <c r="H128" s="65"/>
      <c r="I128" s="64"/>
      <c r="J128" s="68"/>
    </row>
    <row r="129" spans="1:5" ht="16.5" customHeight="1">
      <c r="A129" s="37"/>
      <c r="B129" s="69"/>
      <c r="C129" s="37"/>
      <c r="E129" s="5"/>
    </row>
    <row r="130" spans="1:3" ht="16.5" customHeight="1">
      <c r="A130" s="37"/>
      <c r="B130" s="69"/>
      <c r="C130" s="37"/>
    </row>
    <row r="131" spans="1:3" ht="16.5" customHeight="1">
      <c r="A131" s="37"/>
      <c r="B131" s="69"/>
      <c r="C131" s="37"/>
    </row>
    <row r="132" spans="1:3" ht="16.5" customHeight="1">
      <c r="A132" s="37"/>
      <c r="B132" s="69"/>
      <c r="C132" s="37"/>
    </row>
    <row r="133" ht="16.5" customHeight="1">
      <c r="J133" s="70"/>
    </row>
    <row r="134" ht="16.5" customHeight="1"/>
    <row r="135" ht="16.5" customHeight="1">
      <c r="J135" s="5">
        <v>1</v>
      </c>
    </row>
  </sheetData>
  <sheetProtection/>
  <mergeCells count="39">
    <mergeCell ref="B74:J74"/>
    <mergeCell ref="B40:J40"/>
    <mergeCell ref="A41:A45"/>
    <mergeCell ref="B41:B45"/>
    <mergeCell ref="C41:I41"/>
    <mergeCell ref="C42:C45"/>
    <mergeCell ref="D42:I42"/>
    <mergeCell ref="D43:D45"/>
    <mergeCell ref="E43:F45"/>
    <mergeCell ref="G43:G45"/>
    <mergeCell ref="H43:H45"/>
    <mergeCell ref="M6:M8"/>
    <mergeCell ref="N6:N8"/>
    <mergeCell ref="O6:O8"/>
    <mergeCell ref="G6:G8"/>
    <mergeCell ref="H6:H8"/>
    <mergeCell ref="I6:I8"/>
    <mergeCell ref="I43:I45"/>
    <mergeCell ref="J43:J45"/>
    <mergeCell ref="P6:P8"/>
    <mergeCell ref="B37:J37"/>
    <mergeCell ref="A39:J39"/>
    <mergeCell ref="Q4:Q8"/>
    <mergeCell ref="C5:C8"/>
    <mergeCell ref="D5:I5"/>
    <mergeCell ref="J5:J8"/>
    <mergeCell ref="K5:P5"/>
    <mergeCell ref="D6:D8"/>
    <mergeCell ref="E6:F8"/>
    <mergeCell ref="B1:H1"/>
    <mergeCell ref="K1:P1"/>
    <mergeCell ref="K2:P2"/>
    <mergeCell ref="B3:J3"/>
    <mergeCell ref="A4:A8"/>
    <mergeCell ref="B4:B8"/>
    <mergeCell ref="C4:J4"/>
    <mergeCell ref="K4:P4"/>
    <mergeCell ref="K6:K8"/>
    <mergeCell ref="L6:L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D40"/>
  <sheetViews>
    <sheetView zoomScalePageLayoutView="0" workbookViewId="0" topLeftCell="A1">
      <selection activeCell="AD34" sqref="AD34"/>
    </sheetView>
  </sheetViews>
  <sheetFormatPr defaultColWidth="9.00390625" defaultRowHeight="15.75"/>
  <cols>
    <col min="1" max="1" width="5.875" style="75" customWidth="1"/>
    <col min="2" max="2" width="20.00390625" style="74" customWidth="1"/>
    <col min="3" max="4" width="7.25390625" style="74" customWidth="1"/>
    <col min="5" max="5" width="7.625" style="74" customWidth="1"/>
    <col min="6" max="6" width="7.50390625" style="74" customWidth="1"/>
    <col min="7" max="8" width="6.625" style="74" customWidth="1"/>
    <col min="9" max="9" width="11.125" style="74" customWidth="1"/>
    <col min="10" max="10" width="6.00390625" style="74" hidden="1" customWidth="1"/>
    <col min="11" max="11" width="4.75390625" style="76" hidden="1" customWidth="1"/>
    <col min="12" max="12" width="4.75390625" style="74" hidden="1" customWidth="1"/>
    <col min="13" max="13" width="4.50390625" style="74" hidden="1" customWidth="1"/>
    <col min="14" max="14" width="4.75390625" style="74" hidden="1" customWidth="1"/>
    <col min="15" max="15" width="4.50390625" style="74" hidden="1" customWidth="1"/>
    <col min="16" max="16" width="5.125" style="74" hidden="1" customWidth="1"/>
    <col min="17" max="17" width="0.12890625" style="74" hidden="1" customWidth="1"/>
    <col min="18" max="18" width="5.125" style="74" hidden="1" customWidth="1"/>
    <col min="19" max="19" width="5.50390625" style="77" hidden="1" customWidth="1"/>
    <col min="20" max="20" width="4.625" style="76" hidden="1" customWidth="1"/>
    <col min="21" max="21" width="8.625" style="76" hidden="1" customWidth="1"/>
    <col min="22" max="22" width="24.125" style="76" hidden="1" customWidth="1"/>
    <col min="23" max="23" width="21.375" style="74" hidden="1" customWidth="1"/>
    <col min="24" max="24" width="3.875" style="75" hidden="1" customWidth="1"/>
    <col min="25" max="25" width="3.50390625" style="74" hidden="1" customWidth="1"/>
    <col min="26" max="29" width="9.00390625" style="74" customWidth="1"/>
    <col min="30" max="30" width="10.25390625" style="74" customWidth="1"/>
    <col min="31" max="16384" width="9.00390625" style="74" customWidth="1"/>
  </cols>
  <sheetData>
    <row r="1" spans="1:30" s="73" customFormat="1" ht="18.75" customHeight="1">
      <c r="A1" s="722" t="s">
        <v>100</v>
      </c>
      <c r="B1" s="722"/>
      <c r="C1" s="722"/>
      <c r="D1" s="722"/>
      <c r="E1" s="722"/>
      <c r="F1" s="72"/>
      <c r="G1" s="72"/>
      <c r="H1" s="72"/>
      <c r="I1" s="722" t="s">
        <v>1</v>
      </c>
      <c r="J1" s="722"/>
      <c r="K1" s="722"/>
      <c r="L1" s="722"/>
      <c r="M1" s="722"/>
      <c r="N1" s="722"/>
      <c r="O1" s="722"/>
      <c r="P1" s="722"/>
      <c r="Q1" s="722"/>
      <c r="R1" s="722"/>
      <c r="S1" s="722"/>
      <c r="T1" s="722"/>
      <c r="U1" s="722"/>
      <c r="V1" s="722"/>
      <c r="W1" s="722"/>
      <c r="X1" s="722"/>
      <c r="Y1" s="722"/>
      <c r="Z1" s="722"/>
      <c r="AA1" s="722"/>
      <c r="AB1" s="722"/>
      <c r="AC1" s="722"/>
      <c r="AD1" s="722"/>
    </row>
    <row r="2" spans="1:30" s="73" customFormat="1" ht="15.75" customHeight="1">
      <c r="A2" s="71"/>
      <c r="B2" s="72"/>
      <c r="C2" s="72"/>
      <c r="D2" s="72"/>
      <c r="E2" s="72"/>
      <c r="F2" s="72"/>
      <c r="G2" s="72"/>
      <c r="H2" s="72"/>
      <c r="I2" s="722" t="s">
        <v>101</v>
      </c>
      <c r="J2" s="722"/>
      <c r="K2" s="722"/>
      <c r="L2" s="722"/>
      <c r="M2" s="722"/>
      <c r="N2" s="722"/>
      <c r="O2" s="722"/>
      <c r="P2" s="722"/>
      <c r="Q2" s="722"/>
      <c r="R2" s="722"/>
      <c r="S2" s="722"/>
      <c r="T2" s="722"/>
      <c r="U2" s="722"/>
      <c r="V2" s="722"/>
      <c r="W2" s="722"/>
      <c r="X2" s="722"/>
      <c r="Y2" s="722"/>
      <c r="Z2" s="722"/>
      <c r="AA2" s="722"/>
      <c r="AB2" s="722"/>
      <c r="AC2" s="722"/>
      <c r="AD2" s="722"/>
    </row>
    <row r="3" spans="1:30" ht="16.5">
      <c r="A3" s="723"/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</row>
    <row r="4" spans="1:30" s="81" customFormat="1" ht="21.75" customHeight="1">
      <c r="A4" s="716" t="s">
        <v>5</v>
      </c>
      <c r="B4" s="716" t="s">
        <v>102</v>
      </c>
      <c r="C4" s="718" t="s">
        <v>103</v>
      </c>
      <c r="D4" s="718"/>
      <c r="E4" s="718"/>
      <c r="F4" s="718"/>
      <c r="G4" s="718"/>
      <c r="H4" s="78"/>
      <c r="I4" s="718" t="s">
        <v>104</v>
      </c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8"/>
      <c r="U4" s="78"/>
      <c r="V4" s="78"/>
      <c r="W4" s="716" t="s">
        <v>8</v>
      </c>
      <c r="X4" s="717" t="s">
        <v>105</v>
      </c>
      <c r="Y4" s="718" t="s">
        <v>106</v>
      </c>
      <c r="Z4" s="716" t="s">
        <v>462</v>
      </c>
      <c r="AA4" s="716"/>
      <c r="AB4" s="716"/>
      <c r="AC4" s="716"/>
      <c r="AD4" s="719" t="s">
        <v>107</v>
      </c>
    </row>
    <row r="5" spans="1:30" s="81" customFormat="1" ht="63" customHeight="1">
      <c r="A5" s="716"/>
      <c r="B5" s="716"/>
      <c r="C5" s="78" t="s">
        <v>38</v>
      </c>
      <c r="D5" s="78"/>
      <c r="E5" s="78" t="s">
        <v>108</v>
      </c>
      <c r="F5" s="78" t="s">
        <v>109</v>
      </c>
      <c r="G5" s="78" t="s">
        <v>110</v>
      </c>
      <c r="H5" s="78"/>
      <c r="I5" s="718"/>
      <c r="J5" s="718"/>
      <c r="K5" s="718"/>
      <c r="L5" s="718"/>
      <c r="M5" s="718"/>
      <c r="N5" s="718"/>
      <c r="O5" s="718"/>
      <c r="P5" s="718"/>
      <c r="Q5" s="718"/>
      <c r="R5" s="718"/>
      <c r="S5" s="718"/>
      <c r="T5" s="718"/>
      <c r="U5" s="82" t="s">
        <v>111</v>
      </c>
      <c r="V5" s="82" t="s">
        <v>112</v>
      </c>
      <c r="W5" s="716"/>
      <c r="X5" s="717"/>
      <c r="Y5" s="718"/>
      <c r="Z5" s="78" t="s">
        <v>38</v>
      </c>
      <c r="AA5" s="78" t="s">
        <v>108</v>
      </c>
      <c r="AB5" s="78" t="s">
        <v>109</v>
      </c>
      <c r="AC5" s="78" t="s">
        <v>113</v>
      </c>
      <c r="AD5" s="720"/>
    </row>
    <row r="6" spans="1:30" s="94" customFormat="1" ht="14.25" customHeight="1">
      <c r="A6" s="84">
        <v>1</v>
      </c>
      <c r="B6" s="85" t="s">
        <v>114</v>
      </c>
      <c r="C6" s="86">
        <f aca="true" t="shared" si="0" ref="C6:C33">E6+F6+G6</f>
        <v>1.5</v>
      </c>
      <c r="D6" s="86"/>
      <c r="E6" s="87">
        <v>0.5</v>
      </c>
      <c r="F6" s="88"/>
      <c r="G6" s="87">
        <v>1</v>
      </c>
      <c r="H6" s="87"/>
      <c r="I6" s="86">
        <v>208.5</v>
      </c>
      <c r="J6" s="89"/>
      <c r="K6" s="90"/>
      <c r="L6" s="89"/>
      <c r="M6" s="90"/>
      <c r="N6" s="89"/>
      <c r="O6" s="90"/>
      <c r="P6" s="89"/>
      <c r="Q6" s="90"/>
      <c r="R6" s="90"/>
      <c r="S6" s="89">
        <f aca="true" t="shared" si="1" ref="S6:S33">J6+L6+N6+P6</f>
        <v>0</v>
      </c>
      <c r="T6" s="90">
        <f aca="true" t="shared" si="2" ref="T6:T33">K6+M6+O6+R6</f>
        <v>0</v>
      </c>
      <c r="U6" s="90"/>
      <c r="V6" s="90"/>
      <c r="W6" s="91"/>
      <c r="X6" s="92"/>
      <c r="Y6" s="91">
        <v>1</v>
      </c>
      <c r="Z6" s="93">
        <f>+SUM(AA6:AC6)</f>
        <v>0.1</v>
      </c>
      <c r="AA6" s="554"/>
      <c r="AB6" s="557"/>
      <c r="AC6" s="560">
        <v>0.1</v>
      </c>
      <c r="AD6" s="563">
        <v>20</v>
      </c>
    </row>
    <row r="7" spans="1:30" s="94" customFormat="1" ht="14.25" customHeight="1">
      <c r="A7" s="95">
        <v>2</v>
      </c>
      <c r="B7" s="96" t="s">
        <v>115</v>
      </c>
      <c r="C7" s="97">
        <f t="shared" si="0"/>
        <v>1.5</v>
      </c>
      <c r="D7" s="97"/>
      <c r="E7" s="98"/>
      <c r="F7" s="98">
        <v>0.5</v>
      </c>
      <c r="G7" s="98">
        <v>1</v>
      </c>
      <c r="H7" s="98"/>
      <c r="I7" s="97">
        <v>175.5</v>
      </c>
      <c r="J7" s="99"/>
      <c r="K7" s="100"/>
      <c r="L7" s="99"/>
      <c r="M7" s="100"/>
      <c r="N7" s="99"/>
      <c r="O7" s="100"/>
      <c r="P7" s="99"/>
      <c r="Q7" s="99"/>
      <c r="R7" s="99"/>
      <c r="S7" s="99">
        <f t="shared" si="1"/>
        <v>0</v>
      </c>
      <c r="T7" s="100">
        <f t="shared" si="2"/>
        <v>0</v>
      </c>
      <c r="U7" s="100"/>
      <c r="V7" s="100"/>
      <c r="W7" s="101"/>
      <c r="X7" s="102"/>
      <c r="Y7" s="101">
        <v>1</v>
      </c>
      <c r="Z7" s="103">
        <f aca="true" t="shared" si="3" ref="Z7:Z33">+SUM(AA7:AC7)</f>
        <v>0.2</v>
      </c>
      <c r="AA7" s="555"/>
      <c r="AB7" s="558"/>
      <c r="AC7" s="561">
        <v>0.2</v>
      </c>
      <c r="AD7" s="564">
        <v>20</v>
      </c>
    </row>
    <row r="8" spans="1:30" s="94" customFormat="1" ht="14.25" customHeight="1">
      <c r="A8" s="95">
        <v>3</v>
      </c>
      <c r="B8" s="96" t="s">
        <v>116</v>
      </c>
      <c r="C8" s="97">
        <f t="shared" si="0"/>
        <v>1</v>
      </c>
      <c r="D8" s="97"/>
      <c r="E8" s="98">
        <v>0.3</v>
      </c>
      <c r="F8" s="98">
        <v>0.2</v>
      </c>
      <c r="G8" s="98">
        <v>0.5</v>
      </c>
      <c r="H8" s="98"/>
      <c r="I8" s="97">
        <v>136.8</v>
      </c>
      <c r="J8" s="99"/>
      <c r="K8" s="100"/>
      <c r="L8" s="99"/>
      <c r="M8" s="105"/>
      <c r="N8" s="99"/>
      <c r="O8" s="99"/>
      <c r="P8" s="99"/>
      <c r="Q8" s="99"/>
      <c r="R8" s="100"/>
      <c r="S8" s="99">
        <f t="shared" si="1"/>
        <v>0</v>
      </c>
      <c r="T8" s="100">
        <f t="shared" si="2"/>
        <v>0</v>
      </c>
      <c r="U8" s="100"/>
      <c r="V8" s="100"/>
      <c r="W8" s="101"/>
      <c r="X8" s="102"/>
      <c r="Y8" s="101"/>
      <c r="Z8" s="103">
        <f t="shared" si="3"/>
        <v>0</v>
      </c>
      <c r="AA8" s="555"/>
      <c r="AB8" s="558"/>
      <c r="AC8" s="561"/>
      <c r="AD8" s="564"/>
    </row>
    <row r="9" spans="1:30" s="94" customFormat="1" ht="14.25" customHeight="1">
      <c r="A9" s="95">
        <v>4</v>
      </c>
      <c r="B9" s="96" t="s">
        <v>117</v>
      </c>
      <c r="C9" s="97">
        <f t="shared" si="0"/>
        <v>2</v>
      </c>
      <c r="D9" s="97"/>
      <c r="E9" s="98">
        <v>1</v>
      </c>
      <c r="F9" s="98"/>
      <c r="G9" s="98">
        <v>1</v>
      </c>
      <c r="H9" s="98"/>
      <c r="I9" s="97">
        <v>300</v>
      </c>
      <c r="J9" s="99"/>
      <c r="K9" s="100"/>
      <c r="L9" s="99"/>
      <c r="M9" s="100"/>
      <c r="N9" s="99"/>
      <c r="O9" s="99"/>
      <c r="P9" s="99"/>
      <c r="Q9" s="99"/>
      <c r="R9" s="100"/>
      <c r="S9" s="99">
        <f t="shared" si="1"/>
        <v>0</v>
      </c>
      <c r="T9" s="100">
        <f t="shared" si="2"/>
        <v>0</v>
      </c>
      <c r="U9" s="100"/>
      <c r="V9" s="100"/>
      <c r="W9" s="101"/>
      <c r="X9" s="102"/>
      <c r="Y9" s="101"/>
      <c r="Z9" s="103">
        <f t="shared" si="3"/>
        <v>0</v>
      </c>
      <c r="AA9" s="555"/>
      <c r="AB9" s="558"/>
      <c r="AC9" s="561"/>
      <c r="AD9" s="564"/>
    </row>
    <row r="10" spans="1:30" s="94" customFormat="1" ht="14.25" customHeight="1">
      <c r="A10" s="95">
        <v>5</v>
      </c>
      <c r="B10" s="96" t="s">
        <v>118</v>
      </c>
      <c r="C10" s="97">
        <f t="shared" si="0"/>
        <v>1.5</v>
      </c>
      <c r="D10" s="97"/>
      <c r="E10" s="98">
        <v>0.5</v>
      </c>
      <c r="F10" s="98"/>
      <c r="G10" s="98">
        <v>1</v>
      </c>
      <c r="H10" s="98"/>
      <c r="I10" s="97">
        <v>208.5</v>
      </c>
      <c r="J10" s="99"/>
      <c r="K10" s="100"/>
      <c r="L10" s="99"/>
      <c r="M10" s="100"/>
      <c r="N10" s="99"/>
      <c r="O10" s="99"/>
      <c r="P10" s="99"/>
      <c r="Q10" s="99"/>
      <c r="R10" s="99"/>
      <c r="S10" s="99">
        <f t="shared" si="1"/>
        <v>0</v>
      </c>
      <c r="T10" s="100">
        <f t="shared" si="2"/>
        <v>0</v>
      </c>
      <c r="U10" s="100"/>
      <c r="V10" s="100"/>
      <c r="W10" s="101"/>
      <c r="X10" s="102"/>
      <c r="Y10" s="101">
        <v>1</v>
      </c>
      <c r="Z10" s="103">
        <f t="shared" si="3"/>
        <v>0</v>
      </c>
      <c r="AA10" s="555"/>
      <c r="AB10" s="558"/>
      <c r="AC10" s="561"/>
      <c r="AD10" s="564"/>
    </row>
    <row r="11" spans="1:30" s="94" customFormat="1" ht="14.25" customHeight="1">
      <c r="A11" s="95">
        <v>6</v>
      </c>
      <c r="B11" s="96" t="s">
        <v>119</v>
      </c>
      <c r="C11" s="97">
        <f t="shared" si="0"/>
        <v>0.5</v>
      </c>
      <c r="D11" s="97"/>
      <c r="E11" s="98">
        <v>0.5</v>
      </c>
      <c r="F11" s="98"/>
      <c r="G11" s="104"/>
      <c r="H11" s="104"/>
      <c r="I11" s="97">
        <v>91.5</v>
      </c>
      <c r="J11" s="99"/>
      <c r="K11" s="100"/>
      <c r="L11" s="99"/>
      <c r="M11" s="100"/>
      <c r="N11" s="99"/>
      <c r="O11" s="99"/>
      <c r="P11" s="99"/>
      <c r="Q11" s="99"/>
      <c r="R11" s="99"/>
      <c r="S11" s="99">
        <f t="shared" si="1"/>
        <v>0</v>
      </c>
      <c r="T11" s="100">
        <f t="shared" si="2"/>
        <v>0</v>
      </c>
      <c r="U11" s="100"/>
      <c r="V11" s="100"/>
      <c r="W11" s="101"/>
      <c r="X11" s="102"/>
      <c r="Y11" s="101"/>
      <c r="Z11" s="103">
        <f t="shared" si="3"/>
        <v>0</v>
      </c>
      <c r="AA11" s="555"/>
      <c r="AB11" s="558"/>
      <c r="AC11" s="561"/>
      <c r="AD11" s="564"/>
    </row>
    <row r="12" spans="1:30" s="94" customFormat="1" ht="14.25" customHeight="1">
      <c r="A12" s="95">
        <v>7</v>
      </c>
      <c r="B12" s="96" t="s">
        <v>120</v>
      </c>
      <c r="C12" s="97">
        <f t="shared" si="0"/>
        <v>1.5</v>
      </c>
      <c r="D12" s="97"/>
      <c r="E12" s="98">
        <v>0.5</v>
      </c>
      <c r="F12" s="98">
        <v>0.5</v>
      </c>
      <c r="G12" s="98">
        <v>0.5</v>
      </c>
      <c r="H12" s="98"/>
      <c r="I12" s="97">
        <v>208.5</v>
      </c>
      <c r="J12" s="99">
        <v>31</v>
      </c>
      <c r="K12" s="100">
        <v>0.3</v>
      </c>
      <c r="L12" s="99"/>
      <c r="M12" s="100"/>
      <c r="N12" s="99"/>
      <c r="O12" s="100"/>
      <c r="P12" s="99"/>
      <c r="Q12" s="99"/>
      <c r="R12" s="100"/>
      <c r="S12" s="99">
        <f t="shared" si="1"/>
        <v>31</v>
      </c>
      <c r="T12" s="100">
        <f t="shared" si="2"/>
        <v>0.3</v>
      </c>
      <c r="U12" s="100"/>
      <c r="V12" s="100"/>
      <c r="W12" s="101"/>
      <c r="X12" s="102"/>
      <c r="Y12" s="101"/>
      <c r="Z12" s="103">
        <f t="shared" si="3"/>
        <v>0.4</v>
      </c>
      <c r="AA12" s="555"/>
      <c r="AB12" s="558">
        <v>0.1</v>
      </c>
      <c r="AC12" s="561">
        <v>0.3</v>
      </c>
      <c r="AD12" s="564">
        <v>51</v>
      </c>
    </row>
    <row r="13" spans="1:30" s="94" customFormat="1" ht="14.25" customHeight="1">
      <c r="A13" s="95">
        <v>8</v>
      </c>
      <c r="B13" s="96" t="s">
        <v>121</v>
      </c>
      <c r="C13" s="97">
        <f t="shared" si="0"/>
        <v>1</v>
      </c>
      <c r="D13" s="97"/>
      <c r="E13" s="98"/>
      <c r="F13" s="98">
        <v>0.5</v>
      </c>
      <c r="G13" s="98">
        <v>0.5</v>
      </c>
      <c r="H13" s="98"/>
      <c r="I13" s="97">
        <v>117</v>
      </c>
      <c r="J13" s="99"/>
      <c r="K13" s="100"/>
      <c r="L13" s="99"/>
      <c r="M13" s="99"/>
      <c r="N13" s="99"/>
      <c r="O13" s="99"/>
      <c r="P13" s="99"/>
      <c r="Q13" s="99"/>
      <c r="R13" s="100"/>
      <c r="S13" s="99">
        <f t="shared" si="1"/>
        <v>0</v>
      </c>
      <c r="T13" s="100">
        <f t="shared" si="2"/>
        <v>0</v>
      </c>
      <c r="U13" s="100">
        <v>220</v>
      </c>
      <c r="V13" s="100" t="s">
        <v>122</v>
      </c>
      <c r="W13" s="101"/>
      <c r="X13" s="102"/>
      <c r="Y13" s="101"/>
      <c r="Z13" s="103">
        <f t="shared" si="3"/>
        <v>0.7</v>
      </c>
      <c r="AA13" s="555"/>
      <c r="AB13" s="558">
        <v>0.4</v>
      </c>
      <c r="AC13" s="561">
        <v>0.3</v>
      </c>
      <c r="AD13" s="564">
        <v>86</v>
      </c>
    </row>
    <row r="14" spans="1:30" s="94" customFormat="1" ht="14.25" customHeight="1">
      <c r="A14" s="95">
        <v>9</v>
      </c>
      <c r="B14" s="96" t="s">
        <v>123</v>
      </c>
      <c r="C14" s="97">
        <f t="shared" si="0"/>
        <v>1.5</v>
      </c>
      <c r="D14" s="97"/>
      <c r="E14" s="98">
        <v>0.5</v>
      </c>
      <c r="F14" s="98">
        <v>0.5</v>
      </c>
      <c r="G14" s="98">
        <v>0.5</v>
      </c>
      <c r="H14" s="98"/>
      <c r="I14" s="97">
        <v>208.5</v>
      </c>
      <c r="J14" s="99">
        <v>10</v>
      </c>
      <c r="K14" s="100">
        <v>0.1</v>
      </c>
      <c r="L14" s="99"/>
      <c r="M14" s="99"/>
      <c r="N14" s="99"/>
      <c r="O14" s="100"/>
      <c r="P14" s="99"/>
      <c r="Q14" s="99"/>
      <c r="R14" s="100"/>
      <c r="S14" s="99">
        <f t="shared" si="1"/>
        <v>10</v>
      </c>
      <c r="T14" s="100">
        <f t="shared" si="2"/>
        <v>0.1</v>
      </c>
      <c r="U14" s="100">
        <v>200</v>
      </c>
      <c r="V14" s="100" t="s">
        <v>124</v>
      </c>
      <c r="W14" s="101"/>
      <c r="X14" s="102"/>
      <c r="Y14" s="101"/>
      <c r="Z14" s="103">
        <f t="shared" si="3"/>
        <v>0.8</v>
      </c>
      <c r="AA14" s="555">
        <v>0.4</v>
      </c>
      <c r="AB14" s="558">
        <v>0.4</v>
      </c>
      <c r="AC14" s="561"/>
      <c r="AD14" s="564">
        <v>115</v>
      </c>
    </row>
    <row r="15" spans="1:30" s="94" customFormat="1" ht="14.25" customHeight="1">
      <c r="A15" s="95">
        <v>10</v>
      </c>
      <c r="B15" s="96" t="s">
        <v>125</v>
      </c>
      <c r="C15" s="97">
        <f t="shared" si="0"/>
        <v>1</v>
      </c>
      <c r="D15" s="97"/>
      <c r="E15" s="98"/>
      <c r="F15" s="98">
        <v>0.5</v>
      </c>
      <c r="G15" s="98">
        <v>0.5</v>
      </c>
      <c r="H15" s="98"/>
      <c r="I15" s="97">
        <v>117</v>
      </c>
      <c r="J15" s="99">
        <v>40</v>
      </c>
      <c r="K15" s="100">
        <v>0.5</v>
      </c>
      <c r="L15" s="99"/>
      <c r="M15" s="99"/>
      <c r="N15" s="99"/>
      <c r="O15" s="100"/>
      <c r="P15" s="99"/>
      <c r="Q15" s="99"/>
      <c r="R15" s="100"/>
      <c r="S15" s="99">
        <f t="shared" si="1"/>
        <v>40</v>
      </c>
      <c r="T15" s="100">
        <f t="shared" si="2"/>
        <v>0.5</v>
      </c>
      <c r="U15" s="100">
        <v>220</v>
      </c>
      <c r="V15" s="100" t="s">
        <v>126</v>
      </c>
      <c r="W15" s="101"/>
      <c r="X15" s="102"/>
      <c r="Y15" s="101"/>
      <c r="Z15" s="103">
        <f t="shared" si="3"/>
        <v>1.1</v>
      </c>
      <c r="AA15" s="555"/>
      <c r="AB15" s="558">
        <v>1.1</v>
      </c>
      <c r="AC15" s="561"/>
      <c r="AD15" s="564">
        <v>120</v>
      </c>
    </row>
    <row r="16" spans="1:30" s="94" customFormat="1" ht="14.25" customHeight="1">
      <c r="A16" s="95">
        <v>11</v>
      </c>
      <c r="B16" s="96" t="s">
        <v>127</v>
      </c>
      <c r="C16" s="97">
        <f t="shared" si="0"/>
        <v>1</v>
      </c>
      <c r="D16" s="97"/>
      <c r="E16" s="98"/>
      <c r="F16" s="98"/>
      <c r="G16" s="98">
        <v>1</v>
      </c>
      <c r="H16" s="98"/>
      <c r="I16" s="97">
        <v>117</v>
      </c>
      <c r="J16" s="99"/>
      <c r="K16" s="100"/>
      <c r="L16" s="99"/>
      <c r="M16" s="100"/>
      <c r="N16" s="99"/>
      <c r="O16" s="100"/>
      <c r="P16" s="99"/>
      <c r="Q16" s="99"/>
      <c r="R16" s="100"/>
      <c r="S16" s="99">
        <f>J16+L16+N16+P16</f>
        <v>0</v>
      </c>
      <c r="T16" s="100">
        <f t="shared" si="2"/>
        <v>0</v>
      </c>
      <c r="U16" s="100">
        <v>110</v>
      </c>
      <c r="V16" s="100" t="s">
        <v>128</v>
      </c>
      <c r="W16" s="101"/>
      <c r="X16" s="102"/>
      <c r="Y16" s="101"/>
      <c r="Z16" s="103">
        <f t="shared" si="3"/>
        <v>0.8999999999999999</v>
      </c>
      <c r="AA16" s="555"/>
      <c r="AB16" s="558">
        <v>0.3</v>
      </c>
      <c r="AC16" s="561">
        <v>0.6</v>
      </c>
      <c r="AD16" s="564">
        <v>116</v>
      </c>
    </row>
    <row r="17" spans="1:30" s="94" customFormat="1" ht="14.25" customHeight="1">
      <c r="A17" s="95">
        <v>12</v>
      </c>
      <c r="B17" s="96" t="s">
        <v>129</v>
      </c>
      <c r="C17" s="97">
        <f t="shared" si="0"/>
        <v>0</v>
      </c>
      <c r="D17" s="97"/>
      <c r="E17" s="98"/>
      <c r="F17" s="98"/>
      <c r="G17" s="98"/>
      <c r="H17" s="98"/>
      <c r="I17" s="97">
        <v>0</v>
      </c>
      <c r="J17" s="99"/>
      <c r="K17" s="100"/>
      <c r="L17" s="99"/>
      <c r="M17" s="100"/>
      <c r="N17" s="99"/>
      <c r="O17" s="105"/>
      <c r="P17" s="99"/>
      <c r="Q17" s="99"/>
      <c r="R17" s="100"/>
      <c r="S17" s="99">
        <f t="shared" si="1"/>
        <v>0</v>
      </c>
      <c r="T17" s="100">
        <f t="shared" si="2"/>
        <v>0</v>
      </c>
      <c r="U17" s="100"/>
      <c r="V17" s="100"/>
      <c r="W17" s="101"/>
      <c r="X17" s="102"/>
      <c r="Y17" s="101">
        <v>1</v>
      </c>
      <c r="Z17" s="103">
        <f t="shared" si="3"/>
        <v>0</v>
      </c>
      <c r="AA17" s="555"/>
      <c r="AB17" s="558"/>
      <c r="AC17" s="561"/>
      <c r="AD17" s="564"/>
    </row>
    <row r="18" spans="1:30" s="94" customFormat="1" ht="14.25" customHeight="1">
      <c r="A18" s="95">
        <v>13</v>
      </c>
      <c r="B18" s="96" t="s">
        <v>130</v>
      </c>
      <c r="C18" s="97">
        <f t="shared" si="0"/>
        <v>1.5</v>
      </c>
      <c r="D18" s="97"/>
      <c r="E18" s="98">
        <v>0.3</v>
      </c>
      <c r="F18" s="98">
        <v>0.7</v>
      </c>
      <c r="G18" s="98">
        <v>0.5</v>
      </c>
      <c r="H18" s="98"/>
      <c r="I18" s="97">
        <v>195.3</v>
      </c>
      <c r="J18" s="99"/>
      <c r="K18" s="100"/>
      <c r="L18" s="99"/>
      <c r="M18" s="100"/>
      <c r="N18" s="99"/>
      <c r="O18" s="99"/>
      <c r="P18" s="99"/>
      <c r="Q18" s="99"/>
      <c r="R18" s="99"/>
      <c r="S18" s="99">
        <f t="shared" si="1"/>
        <v>0</v>
      </c>
      <c r="T18" s="100">
        <f t="shared" si="2"/>
        <v>0</v>
      </c>
      <c r="U18" s="100"/>
      <c r="V18" s="100"/>
      <c r="W18" s="101"/>
      <c r="X18" s="102"/>
      <c r="Y18" s="101">
        <v>1</v>
      </c>
      <c r="Z18" s="103">
        <f t="shared" si="3"/>
        <v>0</v>
      </c>
      <c r="AA18" s="555"/>
      <c r="AB18" s="558"/>
      <c r="AC18" s="561"/>
      <c r="AD18" s="564"/>
    </row>
    <row r="19" spans="1:30" s="94" customFormat="1" ht="14.25" customHeight="1">
      <c r="A19" s="95">
        <v>14</v>
      </c>
      <c r="B19" s="96" t="s">
        <v>131</v>
      </c>
      <c r="C19" s="97">
        <f t="shared" si="0"/>
        <v>0</v>
      </c>
      <c r="D19" s="97"/>
      <c r="E19" s="98"/>
      <c r="F19" s="98"/>
      <c r="G19" s="104"/>
      <c r="H19" s="104"/>
      <c r="I19" s="97">
        <v>0</v>
      </c>
      <c r="J19" s="99"/>
      <c r="K19" s="100"/>
      <c r="L19" s="99"/>
      <c r="M19" s="100"/>
      <c r="N19" s="99"/>
      <c r="O19" s="99"/>
      <c r="P19" s="99"/>
      <c r="Q19" s="99"/>
      <c r="R19" s="99"/>
      <c r="S19" s="99">
        <f t="shared" si="1"/>
        <v>0</v>
      </c>
      <c r="T19" s="100">
        <f t="shared" si="2"/>
        <v>0</v>
      </c>
      <c r="U19" s="100"/>
      <c r="V19" s="100"/>
      <c r="W19" s="101"/>
      <c r="X19" s="102"/>
      <c r="Y19" s="101"/>
      <c r="Z19" s="103">
        <f t="shared" si="3"/>
        <v>0.30000000000000004</v>
      </c>
      <c r="AA19" s="555"/>
      <c r="AB19" s="558">
        <v>0.1</v>
      </c>
      <c r="AC19" s="561">
        <v>0.2</v>
      </c>
      <c r="AD19" s="564">
        <v>35</v>
      </c>
    </row>
    <row r="20" spans="1:30" s="94" customFormat="1" ht="14.25" customHeight="1">
      <c r="A20" s="95">
        <v>15</v>
      </c>
      <c r="B20" s="96" t="s">
        <v>132</v>
      </c>
      <c r="C20" s="97">
        <f t="shared" si="0"/>
        <v>1</v>
      </c>
      <c r="D20" s="97"/>
      <c r="E20" s="98"/>
      <c r="F20" s="98">
        <v>0.5</v>
      </c>
      <c r="G20" s="98">
        <v>0.5</v>
      </c>
      <c r="H20" s="98"/>
      <c r="I20" s="97">
        <v>117</v>
      </c>
      <c r="J20" s="99"/>
      <c r="K20" s="100"/>
      <c r="L20" s="99"/>
      <c r="M20" s="100"/>
      <c r="N20" s="99"/>
      <c r="O20" s="99"/>
      <c r="P20" s="99"/>
      <c r="Q20" s="99"/>
      <c r="R20" s="99"/>
      <c r="S20" s="99">
        <f t="shared" si="1"/>
        <v>0</v>
      </c>
      <c r="T20" s="100">
        <f t="shared" si="2"/>
        <v>0</v>
      </c>
      <c r="U20" s="100"/>
      <c r="V20" s="100"/>
      <c r="W20" s="101"/>
      <c r="X20" s="102"/>
      <c r="Y20" s="101">
        <v>1</v>
      </c>
      <c r="Z20" s="103">
        <f t="shared" si="3"/>
        <v>0</v>
      </c>
      <c r="AA20" s="555"/>
      <c r="AB20" s="558"/>
      <c r="AC20" s="561"/>
      <c r="AD20" s="564"/>
    </row>
    <row r="21" spans="1:30" s="106" customFormat="1" ht="14.25" customHeight="1">
      <c r="A21" s="95">
        <v>16</v>
      </c>
      <c r="B21" s="96" t="s">
        <v>133</v>
      </c>
      <c r="C21" s="97">
        <f t="shared" si="0"/>
        <v>1</v>
      </c>
      <c r="D21" s="97"/>
      <c r="E21" s="98"/>
      <c r="F21" s="98">
        <v>0.5</v>
      </c>
      <c r="G21" s="98">
        <v>0.5</v>
      </c>
      <c r="H21" s="98"/>
      <c r="I21" s="97">
        <v>117</v>
      </c>
      <c r="J21" s="99"/>
      <c r="K21" s="100"/>
      <c r="L21" s="99"/>
      <c r="M21" s="100"/>
      <c r="N21" s="99"/>
      <c r="O21" s="99"/>
      <c r="P21" s="99"/>
      <c r="Q21" s="99"/>
      <c r="R21" s="100"/>
      <c r="S21" s="99">
        <f t="shared" si="1"/>
        <v>0</v>
      </c>
      <c r="T21" s="100">
        <f t="shared" si="2"/>
        <v>0</v>
      </c>
      <c r="U21" s="100"/>
      <c r="V21" s="100"/>
      <c r="W21" s="101"/>
      <c r="X21" s="95"/>
      <c r="Y21" s="96">
        <v>1</v>
      </c>
      <c r="Z21" s="103">
        <f t="shared" si="3"/>
        <v>0</v>
      </c>
      <c r="AA21" s="555"/>
      <c r="AB21" s="558"/>
      <c r="AC21" s="561"/>
      <c r="AD21" s="564"/>
    </row>
    <row r="22" spans="1:30" s="94" customFormat="1" ht="14.25" customHeight="1">
      <c r="A22" s="95">
        <v>17</v>
      </c>
      <c r="B22" s="96" t="s">
        <v>134</v>
      </c>
      <c r="C22" s="97">
        <f t="shared" si="0"/>
        <v>1.5</v>
      </c>
      <c r="D22" s="97"/>
      <c r="E22" s="98">
        <v>0.2</v>
      </c>
      <c r="F22" s="104">
        <v>0.8</v>
      </c>
      <c r="G22" s="98">
        <v>0.5</v>
      </c>
      <c r="H22" s="98"/>
      <c r="I22" s="97">
        <v>188.70000000000002</v>
      </c>
      <c r="J22" s="99"/>
      <c r="K22" s="100"/>
      <c r="L22" s="99"/>
      <c r="M22" s="100"/>
      <c r="N22" s="99"/>
      <c r="O22" s="99"/>
      <c r="P22" s="100"/>
      <c r="Q22" s="105"/>
      <c r="R22" s="105"/>
      <c r="S22" s="100">
        <f t="shared" si="1"/>
        <v>0</v>
      </c>
      <c r="T22" s="105">
        <f t="shared" si="2"/>
        <v>0</v>
      </c>
      <c r="U22" s="100"/>
      <c r="V22" s="100"/>
      <c r="W22" s="101"/>
      <c r="X22" s="102"/>
      <c r="Y22" s="101"/>
      <c r="Z22" s="103">
        <f t="shared" si="3"/>
        <v>0.06</v>
      </c>
      <c r="AA22" s="555"/>
      <c r="AB22" s="558">
        <v>0.06</v>
      </c>
      <c r="AC22" s="561"/>
      <c r="AD22" s="564">
        <v>6.5</v>
      </c>
    </row>
    <row r="23" spans="1:30" s="94" customFormat="1" ht="14.25" customHeight="1">
      <c r="A23" s="95">
        <v>18</v>
      </c>
      <c r="B23" s="96" t="s">
        <v>135</v>
      </c>
      <c r="C23" s="97">
        <f t="shared" si="0"/>
        <v>1</v>
      </c>
      <c r="D23" s="97"/>
      <c r="E23" s="98">
        <v>0.5</v>
      </c>
      <c r="F23" s="104"/>
      <c r="G23" s="98">
        <v>0.5</v>
      </c>
      <c r="H23" s="98"/>
      <c r="I23" s="97">
        <v>150</v>
      </c>
      <c r="J23" s="99"/>
      <c r="K23" s="100"/>
      <c r="L23" s="99"/>
      <c r="M23" s="100"/>
      <c r="N23" s="99"/>
      <c r="O23" s="99"/>
      <c r="P23" s="99"/>
      <c r="Q23" s="99"/>
      <c r="R23" s="99"/>
      <c r="S23" s="99">
        <f t="shared" si="1"/>
        <v>0</v>
      </c>
      <c r="T23" s="100">
        <f t="shared" si="2"/>
        <v>0</v>
      </c>
      <c r="U23" s="100"/>
      <c r="V23" s="100"/>
      <c r="W23" s="101"/>
      <c r="X23" s="102"/>
      <c r="Y23" s="101"/>
      <c r="Z23" s="103">
        <f t="shared" si="3"/>
        <v>0.1</v>
      </c>
      <c r="AA23" s="555">
        <v>0.1</v>
      </c>
      <c r="AB23" s="558"/>
      <c r="AC23" s="561"/>
      <c r="AD23" s="564">
        <v>19</v>
      </c>
    </row>
    <row r="24" spans="1:30" s="106" customFormat="1" ht="14.25" customHeight="1">
      <c r="A24" s="95">
        <v>19</v>
      </c>
      <c r="B24" s="96" t="s">
        <v>136</v>
      </c>
      <c r="C24" s="107">
        <f t="shared" si="0"/>
        <v>0</v>
      </c>
      <c r="D24" s="107"/>
      <c r="E24" s="98"/>
      <c r="F24" s="104"/>
      <c r="G24" s="104"/>
      <c r="H24" s="104"/>
      <c r="I24" s="97">
        <v>0</v>
      </c>
      <c r="J24" s="99"/>
      <c r="K24" s="100"/>
      <c r="L24" s="99"/>
      <c r="M24" s="100"/>
      <c r="N24" s="99"/>
      <c r="O24" s="99"/>
      <c r="P24" s="99"/>
      <c r="Q24" s="99"/>
      <c r="R24" s="99"/>
      <c r="S24" s="99">
        <f t="shared" si="1"/>
        <v>0</v>
      </c>
      <c r="T24" s="100">
        <f t="shared" si="2"/>
        <v>0</v>
      </c>
      <c r="U24" s="100"/>
      <c r="V24" s="100"/>
      <c r="W24" s="96"/>
      <c r="X24" s="95"/>
      <c r="Y24" s="96"/>
      <c r="Z24" s="103">
        <f t="shared" si="3"/>
        <v>0</v>
      </c>
      <c r="AA24" s="555"/>
      <c r="AB24" s="558"/>
      <c r="AC24" s="561"/>
      <c r="AD24" s="564"/>
    </row>
    <row r="25" spans="1:30" s="94" customFormat="1" ht="14.25" customHeight="1">
      <c r="A25" s="95">
        <v>20</v>
      </c>
      <c r="B25" s="96" t="s">
        <v>137</v>
      </c>
      <c r="C25" s="107">
        <f t="shared" si="0"/>
        <v>0</v>
      </c>
      <c r="D25" s="107"/>
      <c r="E25" s="98"/>
      <c r="F25" s="98"/>
      <c r="G25" s="104"/>
      <c r="H25" s="104"/>
      <c r="I25" s="97">
        <v>0</v>
      </c>
      <c r="J25" s="99"/>
      <c r="K25" s="100"/>
      <c r="L25" s="99"/>
      <c r="M25" s="100"/>
      <c r="N25" s="99"/>
      <c r="O25" s="99"/>
      <c r="P25" s="99"/>
      <c r="Q25" s="99"/>
      <c r="R25" s="99"/>
      <c r="S25" s="99">
        <f t="shared" si="1"/>
        <v>0</v>
      </c>
      <c r="T25" s="100">
        <f t="shared" si="2"/>
        <v>0</v>
      </c>
      <c r="U25" s="100"/>
      <c r="V25" s="100"/>
      <c r="W25" s="101"/>
      <c r="X25" s="102"/>
      <c r="Y25" s="101"/>
      <c r="Z25" s="103">
        <f t="shared" si="3"/>
        <v>0</v>
      </c>
      <c r="AA25" s="555"/>
      <c r="AB25" s="558"/>
      <c r="AC25" s="561"/>
      <c r="AD25" s="564"/>
    </row>
    <row r="26" spans="1:30" s="94" customFormat="1" ht="14.25" customHeight="1">
      <c r="A26" s="95">
        <v>21</v>
      </c>
      <c r="B26" s="96" t="s">
        <v>138</v>
      </c>
      <c r="C26" s="107">
        <f t="shared" si="0"/>
        <v>1.5</v>
      </c>
      <c r="D26" s="107"/>
      <c r="E26" s="98"/>
      <c r="F26" s="98">
        <v>0.5</v>
      </c>
      <c r="G26" s="98">
        <v>1</v>
      </c>
      <c r="H26" s="98"/>
      <c r="I26" s="97">
        <v>175.5</v>
      </c>
      <c r="J26" s="99"/>
      <c r="K26" s="100"/>
      <c r="L26" s="99"/>
      <c r="M26" s="100"/>
      <c r="N26" s="99"/>
      <c r="O26" s="100"/>
      <c r="P26" s="99"/>
      <c r="Q26" s="99"/>
      <c r="R26" s="99"/>
      <c r="S26" s="99">
        <f t="shared" si="1"/>
        <v>0</v>
      </c>
      <c r="T26" s="100">
        <f t="shared" si="2"/>
        <v>0</v>
      </c>
      <c r="U26" s="100"/>
      <c r="V26" s="100"/>
      <c r="W26" s="101"/>
      <c r="X26" s="102"/>
      <c r="Y26" s="101">
        <v>1</v>
      </c>
      <c r="Z26" s="103">
        <f t="shared" si="3"/>
        <v>1</v>
      </c>
      <c r="AA26" s="555"/>
      <c r="AB26" s="558">
        <v>1</v>
      </c>
      <c r="AC26" s="561"/>
      <c r="AD26" s="564">
        <v>117</v>
      </c>
    </row>
    <row r="27" spans="1:30" s="94" customFormat="1" ht="14.25" customHeight="1">
      <c r="A27" s="95">
        <v>22</v>
      </c>
      <c r="B27" s="96" t="s">
        <v>139</v>
      </c>
      <c r="C27" s="107">
        <f t="shared" si="0"/>
        <v>1</v>
      </c>
      <c r="D27" s="107"/>
      <c r="E27" s="98">
        <v>0.5</v>
      </c>
      <c r="F27" s="98"/>
      <c r="G27" s="98">
        <v>0.5</v>
      </c>
      <c r="H27" s="98"/>
      <c r="I27" s="97">
        <v>150</v>
      </c>
      <c r="J27" s="99"/>
      <c r="K27" s="100"/>
      <c r="L27" s="99"/>
      <c r="M27" s="100"/>
      <c r="N27" s="99"/>
      <c r="O27" s="100"/>
      <c r="P27" s="99"/>
      <c r="Q27" s="99"/>
      <c r="R27" s="100"/>
      <c r="S27" s="99">
        <f t="shared" si="1"/>
        <v>0</v>
      </c>
      <c r="T27" s="100">
        <f t="shared" si="2"/>
        <v>0</v>
      </c>
      <c r="U27" s="100">
        <v>50</v>
      </c>
      <c r="V27" s="100" t="s">
        <v>140</v>
      </c>
      <c r="W27" s="101"/>
      <c r="X27" s="102"/>
      <c r="Y27" s="101"/>
      <c r="Z27" s="103">
        <f t="shared" si="3"/>
        <v>0.1</v>
      </c>
      <c r="AA27" s="555"/>
      <c r="AB27" s="558">
        <v>0.1</v>
      </c>
      <c r="AC27" s="561"/>
      <c r="AD27" s="564">
        <v>20</v>
      </c>
    </row>
    <row r="28" spans="1:30" s="94" customFormat="1" ht="14.25" customHeight="1">
      <c r="A28" s="95">
        <v>23</v>
      </c>
      <c r="B28" s="96" t="s">
        <v>141</v>
      </c>
      <c r="C28" s="107">
        <f t="shared" si="0"/>
        <v>1</v>
      </c>
      <c r="D28" s="107"/>
      <c r="E28" s="98"/>
      <c r="F28" s="98">
        <v>0.5</v>
      </c>
      <c r="G28" s="98">
        <v>0.5</v>
      </c>
      <c r="H28" s="98"/>
      <c r="I28" s="97">
        <v>117</v>
      </c>
      <c r="J28" s="99"/>
      <c r="K28" s="100"/>
      <c r="L28" s="99"/>
      <c r="M28" s="100"/>
      <c r="N28" s="99"/>
      <c r="O28" s="100"/>
      <c r="P28" s="99"/>
      <c r="Q28" s="99"/>
      <c r="R28" s="99"/>
      <c r="S28" s="99">
        <f t="shared" si="1"/>
        <v>0</v>
      </c>
      <c r="T28" s="100">
        <f t="shared" si="2"/>
        <v>0</v>
      </c>
      <c r="U28" s="100"/>
      <c r="V28" s="100"/>
      <c r="W28" s="101"/>
      <c r="X28" s="102"/>
      <c r="Y28" s="101"/>
      <c r="Z28" s="103">
        <f t="shared" si="3"/>
        <v>0.7</v>
      </c>
      <c r="AA28" s="555">
        <v>0.3</v>
      </c>
      <c r="AB28" s="558"/>
      <c r="AC28" s="561">
        <v>0.4</v>
      </c>
      <c r="AD28" s="564">
        <v>97</v>
      </c>
    </row>
    <row r="29" spans="1:30" s="94" customFormat="1" ht="14.25" customHeight="1">
      <c r="A29" s="95">
        <v>24</v>
      </c>
      <c r="B29" s="96" t="s">
        <v>142</v>
      </c>
      <c r="C29" s="107">
        <f t="shared" si="0"/>
        <v>1</v>
      </c>
      <c r="D29" s="107"/>
      <c r="E29" s="98"/>
      <c r="F29" s="98">
        <v>0.5</v>
      </c>
      <c r="G29" s="98">
        <v>0.5</v>
      </c>
      <c r="H29" s="98"/>
      <c r="I29" s="97">
        <v>117</v>
      </c>
      <c r="J29" s="99"/>
      <c r="K29" s="100"/>
      <c r="L29" s="99"/>
      <c r="M29" s="100"/>
      <c r="N29" s="99"/>
      <c r="O29" s="100"/>
      <c r="P29" s="99"/>
      <c r="Q29" s="99"/>
      <c r="R29" s="105"/>
      <c r="S29" s="99">
        <f t="shared" si="1"/>
        <v>0</v>
      </c>
      <c r="T29" s="100">
        <f t="shared" si="2"/>
        <v>0</v>
      </c>
      <c r="U29" s="100">
        <v>50</v>
      </c>
      <c r="V29" s="100" t="s">
        <v>143</v>
      </c>
      <c r="W29" s="101"/>
      <c r="X29" s="102"/>
      <c r="Y29" s="101"/>
      <c r="Z29" s="103">
        <f t="shared" si="3"/>
        <v>0.2</v>
      </c>
      <c r="AA29" s="555"/>
      <c r="AB29" s="558">
        <v>0.1</v>
      </c>
      <c r="AC29" s="561">
        <v>0.1</v>
      </c>
      <c r="AD29" s="564">
        <v>30</v>
      </c>
    </row>
    <row r="30" spans="1:30" s="94" customFormat="1" ht="14.25" customHeight="1">
      <c r="A30" s="95">
        <v>25</v>
      </c>
      <c r="B30" s="96" t="s">
        <v>144</v>
      </c>
      <c r="C30" s="107">
        <f t="shared" si="0"/>
        <v>1.5</v>
      </c>
      <c r="D30" s="107"/>
      <c r="E30" s="98"/>
      <c r="F30" s="98">
        <v>1</v>
      </c>
      <c r="G30" s="98">
        <v>0.5</v>
      </c>
      <c r="H30" s="98"/>
      <c r="I30" s="97">
        <v>175.5</v>
      </c>
      <c r="J30" s="99"/>
      <c r="K30" s="100"/>
      <c r="L30" s="99"/>
      <c r="M30" s="100"/>
      <c r="N30" s="99"/>
      <c r="O30" s="99"/>
      <c r="P30" s="99"/>
      <c r="Q30" s="101"/>
      <c r="R30" s="99"/>
      <c r="S30" s="99">
        <f t="shared" si="1"/>
        <v>0</v>
      </c>
      <c r="T30" s="100">
        <f t="shared" si="2"/>
        <v>0</v>
      </c>
      <c r="U30" s="100"/>
      <c r="V30" s="100"/>
      <c r="W30" s="101"/>
      <c r="X30" s="102"/>
      <c r="Y30" s="101"/>
      <c r="Z30" s="103">
        <f t="shared" si="3"/>
        <v>0</v>
      </c>
      <c r="AA30" s="555"/>
      <c r="AB30" s="558"/>
      <c r="AC30" s="561"/>
      <c r="AD30" s="564"/>
    </row>
    <row r="31" spans="1:30" s="94" customFormat="1" ht="14.25" customHeight="1">
      <c r="A31" s="95">
        <v>26</v>
      </c>
      <c r="B31" s="96" t="s">
        <v>145</v>
      </c>
      <c r="C31" s="107">
        <f t="shared" si="0"/>
        <v>1.5</v>
      </c>
      <c r="D31" s="107"/>
      <c r="E31" s="98">
        <v>0.5</v>
      </c>
      <c r="F31" s="98">
        <v>0.5</v>
      </c>
      <c r="G31" s="98">
        <v>0.5</v>
      </c>
      <c r="H31" s="98"/>
      <c r="I31" s="97">
        <v>208.5</v>
      </c>
      <c r="J31" s="99"/>
      <c r="K31" s="100"/>
      <c r="L31" s="99"/>
      <c r="M31" s="100"/>
      <c r="N31" s="99"/>
      <c r="O31" s="105"/>
      <c r="P31" s="99"/>
      <c r="Q31" s="99"/>
      <c r="R31" s="99"/>
      <c r="S31" s="99">
        <f t="shared" si="1"/>
        <v>0</v>
      </c>
      <c r="T31" s="100">
        <f t="shared" si="2"/>
        <v>0</v>
      </c>
      <c r="U31" s="100"/>
      <c r="V31" s="100"/>
      <c r="W31" s="101"/>
      <c r="X31" s="102"/>
      <c r="Y31" s="101"/>
      <c r="Z31" s="103">
        <f t="shared" si="3"/>
        <v>0</v>
      </c>
      <c r="AA31" s="555"/>
      <c r="AB31" s="558"/>
      <c r="AC31" s="561"/>
      <c r="AD31" s="564"/>
    </row>
    <row r="32" spans="1:30" s="94" customFormat="1" ht="14.25" customHeight="1">
      <c r="A32" s="95">
        <v>27</v>
      </c>
      <c r="B32" s="96" t="s">
        <v>146</v>
      </c>
      <c r="C32" s="107">
        <f t="shared" si="0"/>
        <v>1.5</v>
      </c>
      <c r="D32" s="107"/>
      <c r="E32" s="98"/>
      <c r="F32" s="98">
        <v>0.5</v>
      </c>
      <c r="G32" s="98">
        <v>1</v>
      </c>
      <c r="H32" s="98"/>
      <c r="I32" s="97">
        <v>175.5</v>
      </c>
      <c r="J32" s="99"/>
      <c r="K32" s="100"/>
      <c r="L32" s="99"/>
      <c r="M32" s="100"/>
      <c r="N32" s="99"/>
      <c r="O32" s="99"/>
      <c r="P32" s="99"/>
      <c r="Q32" s="99"/>
      <c r="R32" s="100"/>
      <c r="S32" s="99">
        <f t="shared" si="1"/>
        <v>0</v>
      </c>
      <c r="T32" s="100">
        <f t="shared" si="2"/>
        <v>0</v>
      </c>
      <c r="U32" s="100"/>
      <c r="V32" s="100"/>
      <c r="W32" s="101"/>
      <c r="X32" s="102"/>
      <c r="Y32" s="101"/>
      <c r="Z32" s="103">
        <f t="shared" si="3"/>
        <v>0</v>
      </c>
      <c r="AA32" s="555"/>
      <c r="AB32" s="558"/>
      <c r="AC32" s="561"/>
      <c r="AD32" s="564"/>
    </row>
    <row r="33" spans="1:30" s="94" customFormat="1" ht="14.25" customHeight="1">
      <c r="A33" s="579">
        <v>28</v>
      </c>
      <c r="B33" s="580" t="s">
        <v>147</v>
      </c>
      <c r="C33" s="581">
        <f t="shared" si="0"/>
        <v>1</v>
      </c>
      <c r="D33" s="581"/>
      <c r="E33" s="582">
        <v>0.2</v>
      </c>
      <c r="F33" s="582">
        <v>0.3</v>
      </c>
      <c r="G33" s="582">
        <v>0.5</v>
      </c>
      <c r="H33" s="582"/>
      <c r="I33" s="583">
        <v>130.2</v>
      </c>
      <c r="J33" s="584">
        <v>22</v>
      </c>
      <c r="K33" s="585">
        <v>0.3</v>
      </c>
      <c r="L33" s="584"/>
      <c r="M33" s="585"/>
      <c r="N33" s="584"/>
      <c r="O33" s="584"/>
      <c r="P33" s="584"/>
      <c r="Q33" s="584"/>
      <c r="R33" s="584"/>
      <c r="S33" s="584">
        <f t="shared" si="1"/>
        <v>22</v>
      </c>
      <c r="T33" s="585">
        <f t="shared" si="2"/>
        <v>0.3</v>
      </c>
      <c r="U33" s="585"/>
      <c r="V33" s="585"/>
      <c r="W33" s="586"/>
      <c r="X33" s="587"/>
      <c r="Y33" s="586"/>
      <c r="Z33" s="588">
        <f t="shared" si="3"/>
        <v>1</v>
      </c>
      <c r="AA33" s="556"/>
      <c r="AB33" s="559">
        <v>0.1</v>
      </c>
      <c r="AC33" s="562">
        <v>0.9</v>
      </c>
      <c r="AD33" s="565">
        <v>120</v>
      </c>
    </row>
    <row r="34" spans="1:30" s="109" customFormat="1" ht="14.25" customHeight="1">
      <c r="A34" s="721" t="s">
        <v>38</v>
      </c>
      <c r="B34" s="721"/>
      <c r="C34" s="566">
        <f>SUM(C6:C33)</f>
        <v>30</v>
      </c>
      <c r="D34" s="566"/>
      <c r="E34" s="567">
        <f>SUM(E6:E33)</f>
        <v>6</v>
      </c>
      <c r="F34" s="568">
        <f>SUM(F6:F33)</f>
        <v>9</v>
      </c>
      <c r="G34" s="568">
        <f>SUM(G6:G33)</f>
        <v>15</v>
      </c>
      <c r="H34" s="568"/>
      <c r="I34" s="569">
        <f aca="true" t="shared" si="4" ref="I34:U34">SUM(I6:I33)</f>
        <v>3905.9999999999995</v>
      </c>
      <c r="J34" s="570">
        <f t="shared" si="4"/>
        <v>103</v>
      </c>
      <c r="K34" s="570">
        <f t="shared" si="4"/>
        <v>1.2</v>
      </c>
      <c r="L34" s="570">
        <f t="shared" si="4"/>
        <v>0</v>
      </c>
      <c r="M34" s="570">
        <f t="shared" si="4"/>
        <v>0</v>
      </c>
      <c r="N34" s="571">
        <f t="shared" si="4"/>
        <v>0</v>
      </c>
      <c r="O34" s="570">
        <f t="shared" si="4"/>
        <v>0</v>
      </c>
      <c r="P34" s="570">
        <f t="shared" si="4"/>
        <v>0</v>
      </c>
      <c r="Q34" s="570">
        <f t="shared" si="4"/>
        <v>0</v>
      </c>
      <c r="R34" s="572">
        <f t="shared" si="4"/>
        <v>0</v>
      </c>
      <c r="S34" s="570">
        <f t="shared" si="4"/>
        <v>103</v>
      </c>
      <c r="T34" s="572">
        <f t="shared" si="4"/>
        <v>1.2</v>
      </c>
      <c r="U34" s="570">
        <f t="shared" si="4"/>
        <v>850</v>
      </c>
      <c r="V34" s="573"/>
      <c r="W34" s="574"/>
      <c r="X34" s="575"/>
      <c r="Y34" s="576">
        <f aca="true" t="shared" si="5" ref="Y34:AD34">SUM(Y6:Y33)</f>
        <v>8</v>
      </c>
      <c r="Z34" s="577">
        <f t="shared" si="5"/>
        <v>7.659999999999999</v>
      </c>
      <c r="AA34" s="577">
        <f t="shared" si="5"/>
        <v>0.8</v>
      </c>
      <c r="AB34" s="577">
        <f t="shared" si="5"/>
        <v>3.7600000000000002</v>
      </c>
      <c r="AC34" s="577">
        <f t="shared" si="5"/>
        <v>3.1</v>
      </c>
      <c r="AD34" s="578">
        <f t="shared" si="5"/>
        <v>972.5</v>
      </c>
    </row>
    <row r="35" spans="1:25" s="121" customFormat="1" ht="12">
      <c r="A35" s="110"/>
      <c r="B35" s="110"/>
      <c r="C35" s="111"/>
      <c r="D35" s="111"/>
      <c r="E35" s="112"/>
      <c r="F35" s="113"/>
      <c r="G35" s="113"/>
      <c r="H35" s="113"/>
      <c r="I35" s="114"/>
      <c r="J35" s="115"/>
      <c r="K35" s="116"/>
      <c r="L35" s="115"/>
      <c r="M35" s="117"/>
      <c r="N35" s="115"/>
      <c r="O35" s="116"/>
      <c r="P35" s="115"/>
      <c r="Q35" s="117"/>
      <c r="R35" s="117"/>
      <c r="S35" s="115"/>
      <c r="T35" s="116"/>
      <c r="U35" s="116"/>
      <c r="V35" s="116"/>
      <c r="W35" s="118"/>
      <c r="X35" s="119"/>
      <c r="Y35" s="120"/>
    </row>
    <row r="40" ht="12.75">
      <c r="G40" s="74" t="s">
        <v>148</v>
      </c>
    </row>
  </sheetData>
  <sheetProtection/>
  <mergeCells count="14">
    <mergeCell ref="A1:E1"/>
    <mergeCell ref="I1:AD1"/>
    <mergeCell ref="I2:AD2"/>
    <mergeCell ref="A3:AD3"/>
    <mergeCell ref="A4:A5"/>
    <mergeCell ref="B4:B5"/>
    <mergeCell ref="C4:G4"/>
    <mergeCell ref="I4:T5"/>
    <mergeCell ref="W4:W5"/>
    <mergeCell ref="X4:X5"/>
    <mergeCell ref="Y4:Y5"/>
    <mergeCell ref="Z4:AC4"/>
    <mergeCell ref="AD4:AD5"/>
    <mergeCell ref="A34:B34"/>
  </mergeCells>
  <printOptions horizontalCentered="1"/>
  <pageMargins left="0.7086614173228347" right="0.7086614173228347" top="0.59" bottom="0.3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Z50"/>
  <sheetViews>
    <sheetView zoomScale="85" zoomScaleNormal="85" zoomScalePageLayoutView="0" workbookViewId="0" topLeftCell="A1">
      <selection activeCell="Q6" sqref="Q6:Q26"/>
    </sheetView>
  </sheetViews>
  <sheetFormatPr defaultColWidth="9.00390625" defaultRowHeight="15.75"/>
  <cols>
    <col min="1" max="1" width="5.375" style="122" customWidth="1"/>
    <col min="2" max="2" width="15.125" style="122" customWidth="1"/>
    <col min="3" max="3" width="8.875" style="123" customWidth="1"/>
    <col min="4" max="4" width="8.125" style="123" customWidth="1"/>
    <col min="5" max="5" width="9.625" style="122" customWidth="1"/>
    <col min="6" max="6" width="10.00390625" style="123" customWidth="1"/>
    <col min="7" max="7" width="9.375" style="123" customWidth="1"/>
    <col min="8" max="8" width="8.625" style="123" customWidth="1"/>
    <col min="9" max="9" width="9.625" style="123" customWidth="1"/>
    <col min="10" max="10" width="8.50390625" style="124" customWidth="1"/>
    <col min="11" max="11" width="8.375" style="124" hidden="1" customWidth="1"/>
    <col min="12" max="12" width="9.00390625" style="123" customWidth="1"/>
    <col min="13" max="13" width="9.375" style="123" customWidth="1"/>
    <col min="14" max="14" width="9.125" style="123" customWidth="1"/>
    <col min="15" max="15" width="7.375" style="123" customWidth="1"/>
    <col min="16" max="16" width="8.375" style="123" customWidth="1"/>
    <col min="17" max="17" width="9.75390625" style="124" customWidth="1"/>
    <col min="18" max="18" width="7.875" style="124" hidden="1" customWidth="1"/>
    <col min="19" max="19" width="6.875" style="123" hidden="1" customWidth="1"/>
    <col min="20" max="20" width="6.75390625" style="123" hidden="1" customWidth="1"/>
    <col min="21" max="21" width="7.25390625" style="123" hidden="1" customWidth="1"/>
    <col min="22" max="22" width="6.875" style="123" hidden="1" customWidth="1"/>
    <col min="23" max="23" width="7.125" style="123" hidden="1" customWidth="1"/>
    <col min="24" max="24" width="7.75390625" style="124" hidden="1" customWidth="1"/>
    <col min="25" max="25" width="1.12109375" style="124" hidden="1" customWidth="1"/>
    <col min="26" max="26" width="6.75390625" style="123" hidden="1" customWidth="1"/>
    <col min="27" max="27" width="7.00390625" style="123" hidden="1" customWidth="1"/>
    <col min="28" max="28" width="3.50390625" style="123" hidden="1" customWidth="1"/>
    <col min="29" max="29" width="7.125" style="123" hidden="1" customWidth="1"/>
    <col min="30" max="30" width="6.75390625" style="123" hidden="1" customWidth="1"/>
    <col min="31" max="31" width="8.875" style="122" hidden="1" customWidth="1"/>
    <col min="32" max="32" width="10.875" style="122" customWidth="1"/>
    <col min="33" max="33" width="9.00390625" style="122" customWidth="1"/>
    <col min="34" max="34" width="3.625" style="122" customWidth="1"/>
    <col min="35" max="38" width="7.50390625" style="122" customWidth="1"/>
    <col min="39" max="39" width="8.25390625" style="122" customWidth="1"/>
    <col min="40" max="41" width="5.875" style="122" customWidth="1"/>
    <col min="42" max="44" width="7.50390625" style="122" customWidth="1"/>
    <col min="45" max="49" width="7.50390625" style="125" customWidth="1"/>
    <col min="50" max="50" width="6.625" style="123" customWidth="1"/>
    <col min="51" max="51" width="7.625" style="123" customWidth="1"/>
    <col min="52" max="52" width="7.25390625" style="123" customWidth="1"/>
    <col min="53" max="53" width="6.625" style="126" customWidth="1"/>
    <col min="54" max="54" width="7.625" style="126" customWidth="1"/>
    <col min="55" max="55" width="7.25390625" style="126" customWidth="1"/>
    <col min="56" max="56" width="6.625" style="123" customWidth="1"/>
    <col min="57" max="57" width="7.625" style="123" customWidth="1"/>
    <col min="58" max="58" width="7.25390625" style="123" customWidth="1"/>
    <col min="59" max="59" width="6.625" style="126" customWidth="1"/>
    <col min="60" max="60" width="7.625" style="126" customWidth="1"/>
    <col min="61" max="61" width="7.25390625" style="126" customWidth="1"/>
    <col min="62" max="67" width="7.50390625" style="122" customWidth="1"/>
    <col min="68" max="72" width="7.50390625" style="125" customWidth="1"/>
    <col min="73" max="78" width="11.625" style="122" customWidth="1"/>
    <col min="79" max="16384" width="9.00390625" style="122" customWidth="1"/>
  </cols>
  <sheetData>
    <row r="1" spans="1:78" s="131" customFormat="1" ht="25.5" customHeight="1">
      <c r="A1" s="127"/>
      <c r="B1" s="128"/>
      <c r="C1" s="728" t="s">
        <v>149</v>
      </c>
      <c r="D1" s="728"/>
      <c r="E1" s="728"/>
      <c r="F1" s="129"/>
      <c r="G1" s="129"/>
      <c r="H1" s="129"/>
      <c r="I1" s="129"/>
      <c r="J1" s="129"/>
      <c r="K1" s="129"/>
      <c r="L1" s="730" t="s">
        <v>150</v>
      </c>
      <c r="M1" s="730"/>
      <c r="N1" s="730"/>
      <c r="O1" s="730"/>
      <c r="P1" s="730"/>
      <c r="Q1" s="130"/>
      <c r="R1" s="129"/>
      <c r="S1" s="129"/>
      <c r="T1" s="129" t="s">
        <v>45</v>
      </c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S1" s="132"/>
      <c r="AT1" s="132"/>
      <c r="AU1" s="132"/>
      <c r="AV1" s="132"/>
      <c r="AW1" s="132"/>
      <c r="BA1" s="133"/>
      <c r="BB1" s="133"/>
      <c r="BC1" s="133"/>
      <c r="BG1" s="133"/>
      <c r="BH1" s="133"/>
      <c r="BI1" s="133"/>
      <c r="BP1" s="132"/>
      <c r="BQ1" s="132"/>
      <c r="BR1" s="132"/>
      <c r="BS1" s="132"/>
      <c r="BT1" s="132"/>
      <c r="BU1" s="134"/>
      <c r="BV1" s="134"/>
      <c r="BW1" s="134"/>
      <c r="BX1" s="134"/>
      <c r="BY1" s="134"/>
      <c r="BZ1" s="134"/>
    </row>
    <row r="2" spans="1:78" s="131" customFormat="1" ht="18" customHeight="1">
      <c r="A2" s="127"/>
      <c r="B2" s="128"/>
      <c r="C2" s="728" t="s">
        <v>151</v>
      </c>
      <c r="D2" s="728"/>
      <c r="E2" s="728"/>
      <c r="F2" s="129"/>
      <c r="G2" s="129"/>
      <c r="H2" s="129"/>
      <c r="I2" s="129"/>
      <c r="J2" s="129"/>
      <c r="K2" s="129"/>
      <c r="L2" s="729" t="s">
        <v>152</v>
      </c>
      <c r="M2" s="729"/>
      <c r="N2" s="729"/>
      <c r="O2" s="729"/>
      <c r="P2" s="729"/>
      <c r="Q2" s="129"/>
      <c r="R2" s="135"/>
      <c r="S2" s="135"/>
      <c r="T2" s="731" t="s">
        <v>153</v>
      </c>
      <c r="U2" s="728"/>
      <c r="V2" s="728"/>
      <c r="W2" s="728"/>
      <c r="X2" s="728"/>
      <c r="Y2" s="728"/>
      <c r="Z2" s="728"/>
      <c r="AA2" s="135"/>
      <c r="AB2" s="135"/>
      <c r="AC2" s="135"/>
      <c r="AD2" s="135"/>
      <c r="AE2" s="135"/>
      <c r="AF2" s="135"/>
      <c r="AS2" s="132"/>
      <c r="AT2" s="132"/>
      <c r="AU2" s="132"/>
      <c r="AV2" s="132"/>
      <c r="AW2" s="132"/>
      <c r="BA2" s="133"/>
      <c r="BB2" s="133"/>
      <c r="BC2" s="133"/>
      <c r="BG2" s="133"/>
      <c r="BH2" s="133"/>
      <c r="BI2" s="133"/>
      <c r="BP2" s="132"/>
      <c r="BQ2" s="132"/>
      <c r="BR2" s="132"/>
      <c r="BS2" s="132"/>
      <c r="BT2" s="132"/>
      <c r="BU2" s="134"/>
      <c r="BV2" s="134"/>
      <c r="BW2" s="134"/>
      <c r="BX2" s="134"/>
      <c r="BY2" s="134"/>
      <c r="BZ2" s="134"/>
    </row>
    <row r="3" spans="1:78" s="131" customFormat="1" ht="27.75" customHeight="1">
      <c r="A3" s="127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37"/>
      <c r="O3" s="138"/>
      <c r="P3" s="136"/>
      <c r="Q3" s="136"/>
      <c r="R3" s="139"/>
      <c r="S3" s="139"/>
      <c r="T3" s="140"/>
      <c r="U3" s="140"/>
      <c r="V3" s="140"/>
      <c r="W3" s="140"/>
      <c r="X3" s="140"/>
      <c r="Y3" s="140"/>
      <c r="Z3" s="140"/>
      <c r="AA3" s="139"/>
      <c r="AB3" s="139"/>
      <c r="AC3" s="139"/>
      <c r="AD3" s="139"/>
      <c r="AE3" s="139"/>
      <c r="AF3" s="139"/>
      <c r="AS3" s="132"/>
      <c r="AT3" s="132"/>
      <c r="AU3" s="132"/>
      <c r="AV3" s="132"/>
      <c r="AW3" s="132"/>
      <c r="BA3" s="133"/>
      <c r="BB3" s="133"/>
      <c r="BC3" s="133"/>
      <c r="BG3" s="133"/>
      <c r="BH3" s="133"/>
      <c r="BI3" s="133"/>
      <c r="BP3" s="132"/>
      <c r="BQ3" s="132"/>
      <c r="BR3" s="132"/>
      <c r="BS3" s="132"/>
      <c r="BT3" s="132"/>
      <c r="BU3" s="134"/>
      <c r="BV3" s="134"/>
      <c r="BW3" s="134"/>
      <c r="BX3" s="134"/>
      <c r="BY3" s="134"/>
      <c r="BZ3" s="134"/>
    </row>
    <row r="4" spans="1:31" ht="43.5" customHeight="1">
      <c r="A4" s="738" t="s">
        <v>5</v>
      </c>
      <c r="B4" s="738" t="s">
        <v>102</v>
      </c>
      <c r="C4" s="732" t="s">
        <v>154</v>
      </c>
      <c r="D4" s="732"/>
      <c r="E4" s="732"/>
      <c r="F4" s="732"/>
      <c r="G4" s="732"/>
      <c r="H4" s="732"/>
      <c r="I4" s="733" t="s">
        <v>155</v>
      </c>
      <c r="J4" s="735" t="s">
        <v>462</v>
      </c>
      <c r="K4" s="735"/>
      <c r="L4" s="735"/>
      <c r="M4" s="735"/>
      <c r="N4" s="735"/>
      <c r="O4" s="735"/>
      <c r="P4" s="735"/>
      <c r="Q4" s="736" t="s">
        <v>107</v>
      </c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3"/>
      <c r="AE4" s="724" t="s">
        <v>156</v>
      </c>
    </row>
    <row r="5" spans="1:78" s="155" customFormat="1" ht="120.75" customHeight="1">
      <c r="A5" s="738"/>
      <c r="B5" s="738"/>
      <c r="C5" s="141" t="s">
        <v>157</v>
      </c>
      <c r="D5" s="141" t="s">
        <v>158</v>
      </c>
      <c r="E5" s="141" t="s">
        <v>159</v>
      </c>
      <c r="F5" s="141" t="s">
        <v>160</v>
      </c>
      <c r="G5" s="141" t="s">
        <v>161</v>
      </c>
      <c r="H5" s="141" t="s">
        <v>162</v>
      </c>
      <c r="I5" s="734"/>
      <c r="J5" s="141" t="s">
        <v>157</v>
      </c>
      <c r="K5" s="141"/>
      <c r="L5" s="141" t="s">
        <v>158</v>
      </c>
      <c r="M5" s="141" t="s">
        <v>159</v>
      </c>
      <c r="N5" s="141" t="s">
        <v>160</v>
      </c>
      <c r="O5" s="141" t="s">
        <v>161</v>
      </c>
      <c r="P5" s="141" t="s">
        <v>162</v>
      </c>
      <c r="Q5" s="737"/>
      <c r="R5" s="144"/>
      <c r="S5" s="145" t="s">
        <v>158</v>
      </c>
      <c r="T5" s="145" t="s">
        <v>159</v>
      </c>
      <c r="U5" s="145" t="s">
        <v>160</v>
      </c>
      <c r="V5" s="145" t="s">
        <v>161</v>
      </c>
      <c r="W5" s="145" t="s">
        <v>163</v>
      </c>
      <c r="X5" s="145" t="s">
        <v>157</v>
      </c>
      <c r="Y5" s="145"/>
      <c r="Z5" s="145" t="s">
        <v>158</v>
      </c>
      <c r="AA5" s="145" t="s">
        <v>159</v>
      </c>
      <c r="AB5" s="145" t="s">
        <v>160</v>
      </c>
      <c r="AC5" s="145" t="s">
        <v>161</v>
      </c>
      <c r="AD5" s="145" t="s">
        <v>163</v>
      </c>
      <c r="AE5" s="725"/>
      <c r="AF5" s="146"/>
      <c r="AG5" s="147"/>
      <c r="AH5" s="148"/>
      <c r="AI5" s="147"/>
      <c r="AJ5" s="147"/>
      <c r="AK5" s="147"/>
      <c r="AL5" s="147"/>
      <c r="AM5" s="147"/>
      <c r="AN5" s="148"/>
      <c r="AO5" s="148"/>
      <c r="AP5" s="147"/>
      <c r="AQ5" s="147"/>
      <c r="AR5" s="147"/>
      <c r="AS5" s="149"/>
      <c r="AT5" s="149"/>
      <c r="AU5" s="149"/>
      <c r="AV5" s="149"/>
      <c r="AW5" s="149"/>
      <c r="AX5" s="150"/>
      <c r="AY5" s="151"/>
      <c r="AZ5" s="151"/>
      <c r="BA5" s="152"/>
      <c r="BB5" s="153"/>
      <c r="BC5" s="153"/>
      <c r="BD5" s="150"/>
      <c r="BE5" s="151"/>
      <c r="BF5" s="151"/>
      <c r="BG5" s="152"/>
      <c r="BH5" s="153"/>
      <c r="BI5" s="153"/>
      <c r="BJ5" s="147"/>
      <c r="BK5" s="147"/>
      <c r="BL5" s="147"/>
      <c r="BM5" s="147"/>
      <c r="BN5" s="147"/>
      <c r="BO5" s="147"/>
      <c r="BP5" s="149"/>
      <c r="BQ5" s="149"/>
      <c r="BR5" s="149"/>
      <c r="BS5" s="149"/>
      <c r="BT5" s="149"/>
      <c r="BU5" s="154"/>
      <c r="BV5" s="154"/>
      <c r="BW5" s="154"/>
      <c r="BX5" s="154"/>
      <c r="BY5" s="154"/>
      <c r="BZ5" s="154"/>
    </row>
    <row r="6" spans="1:78" s="125" customFormat="1" ht="15.75" customHeight="1">
      <c r="A6" s="156">
        <v>1</v>
      </c>
      <c r="B6" s="157" t="s">
        <v>164</v>
      </c>
      <c r="C6" s="158">
        <f>SUM(D6:H6)</f>
        <v>13.52</v>
      </c>
      <c r="D6" s="159"/>
      <c r="E6" s="160">
        <v>1.818</v>
      </c>
      <c r="F6" s="160">
        <v>11.702</v>
      </c>
      <c r="G6" s="160"/>
      <c r="H6" s="161"/>
      <c r="I6" s="161">
        <f>+D6*194.67+E6*173.04+(F6+G6)*111.72+H6*127.68</f>
        <v>1621.93416</v>
      </c>
      <c r="J6" s="531">
        <f aca="true" t="shared" si="0" ref="J6:J26">SUM(L6:P6)</f>
        <v>4.5</v>
      </c>
      <c r="K6" s="162">
        <f aca="true" t="shared" si="1" ref="K6:K27">SUM(L6:P6)</f>
        <v>4.5</v>
      </c>
      <c r="L6" s="163"/>
      <c r="M6" s="611">
        <v>1.5</v>
      </c>
      <c r="N6" s="611">
        <v>3</v>
      </c>
      <c r="O6" s="611"/>
      <c r="P6" s="163"/>
      <c r="Q6" s="614">
        <v>740</v>
      </c>
      <c r="R6" s="164">
        <f>SUM(S6:W6)</f>
        <v>454.71924</v>
      </c>
      <c r="S6" s="165">
        <f aca="true" t="shared" si="2" ref="S6:S26">D6*194.67*15%</f>
        <v>0</v>
      </c>
      <c r="T6" s="165">
        <f aca="true" t="shared" si="3" ref="T6:T26">E6*173.04*15%</f>
        <v>47.188008</v>
      </c>
      <c r="U6" s="165">
        <f aca="true" t="shared" si="4" ref="U6:U26">F6*111.72*30%</f>
        <v>392.204232</v>
      </c>
      <c r="V6" s="165">
        <f aca="true" t="shared" si="5" ref="V6:V26">G6*111.72*15%</f>
        <v>0</v>
      </c>
      <c r="W6" s="165">
        <f>'[1]Dang ky kenh 2014'!$G$10</f>
        <v>15.326999999999998</v>
      </c>
      <c r="X6" s="166">
        <f>ROUND(SUM(Z6:AD6),1)</f>
        <v>151.6</v>
      </c>
      <c r="Y6" s="166">
        <f>SUM(Z6:AD6)</f>
        <v>151.57308</v>
      </c>
      <c r="Z6" s="165">
        <f>D6*194.67*5%</f>
        <v>0</v>
      </c>
      <c r="AA6" s="165">
        <f>E6*173.04*5%</f>
        <v>15.729336000000002</v>
      </c>
      <c r="AB6" s="165">
        <f>F6*111.72*10%</f>
        <v>130.734744</v>
      </c>
      <c r="AC6" s="165">
        <f>G6*111.72*5%</f>
        <v>0</v>
      </c>
      <c r="AD6" s="165">
        <f>'[1]Dang ky kenh 2014'!$H$10</f>
        <v>5.109</v>
      </c>
      <c r="AE6" s="167">
        <f aca="true" t="shared" si="6" ref="AE6:AE26">SUM(J6,Q6,X6)</f>
        <v>896.1</v>
      </c>
      <c r="AF6" s="168"/>
      <c r="AG6" s="168"/>
      <c r="AH6" s="168"/>
      <c r="AI6" s="168"/>
      <c r="AJ6" s="168"/>
      <c r="AK6" s="168"/>
      <c r="AL6" s="168"/>
      <c r="AM6" s="169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71"/>
      <c r="BV6" s="171"/>
      <c r="BW6" s="171"/>
      <c r="BX6" s="171"/>
      <c r="BY6" s="171"/>
      <c r="BZ6" s="171"/>
    </row>
    <row r="7" spans="1:78" s="125" customFormat="1" ht="15.75" customHeight="1">
      <c r="A7" s="172">
        <v>2</v>
      </c>
      <c r="B7" s="173" t="s">
        <v>165</v>
      </c>
      <c r="C7" s="174">
        <f aca="true" t="shared" si="7" ref="C7:C27">SUM(D7:H7)</f>
        <v>13.399</v>
      </c>
      <c r="D7" s="175"/>
      <c r="E7" s="176">
        <v>0.2</v>
      </c>
      <c r="F7" s="175">
        <v>11.539</v>
      </c>
      <c r="G7" s="175">
        <v>0.66</v>
      </c>
      <c r="H7" s="175">
        <v>1</v>
      </c>
      <c r="I7" s="177">
        <f aca="true" t="shared" si="8" ref="I7:I26">+D7*194.67+E7*173.04+(F7+G7)*111.72+H7*127.68</f>
        <v>1525.16028</v>
      </c>
      <c r="J7" s="530">
        <f t="shared" si="0"/>
        <v>5.2</v>
      </c>
      <c r="K7" s="178">
        <f t="shared" si="1"/>
        <v>5.2</v>
      </c>
      <c r="L7" s="179"/>
      <c r="M7" s="612">
        <v>0.25</v>
      </c>
      <c r="N7" s="612">
        <v>4.55</v>
      </c>
      <c r="O7" s="612">
        <v>0.4</v>
      </c>
      <c r="P7" s="179"/>
      <c r="Q7" s="615">
        <v>907</v>
      </c>
      <c r="R7" s="180">
        <f aca="true" t="shared" si="9" ref="R7:R26">SUM(S7:W7)</f>
        <v>411.9476039999999</v>
      </c>
      <c r="S7" s="181">
        <f t="shared" si="2"/>
        <v>0</v>
      </c>
      <c r="T7" s="181">
        <f t="shared" si="3"/>
        <v>5.191199999999999</v>
      </c>
      <c r="U7" s="181">
        <f t="shared" si="4"/>
        <v>386.74112399999996</v>
      </c>
      <c r="V7" s="181">
        <f t="shared" si="5"/>
        <v>11.06028</v>
      </c>
      <c r="W7" s="181">
        <f>'[1]Dang ky kenh 2014'!$G$28</f>
        <v>8.955</v>
      </c>
      <c r="X7" s="182">
        <f aca="true" t="shared" si="10" ref="X7:X26">ROUND(SUM(Z7:AD7),1)</f>
        <v>137.3</v>
      </c>
      <c r="Y7" s="182">
        <f aca="true" t="shared" si="11" ref="Y7:Y26">SUM(Z7:AD7)</f>
        <v>137.31586800000002</v>
      </c>
      <c r="Z7" s="181">
        <f aca="true" t="shared" si="12" ref="Z7:Z26">D7*194.67*5%</f>
        <v>0</v>
      </c>
      <c r="AA7" s="181">
        <f aca="true" t="shared" si="13" ref="AA7:AA26">E7*173.04*5%</f>
        <v>1.7304</v>
      </c>
      <c r="AB7" s="181">
        <f aca="true" t="shared" si="14" ref="AB7:AB26">F7*111.72*10%</f>
        <v>128.913708</v>
      </c>
      <c r="AC7" s="181">
        <f aca="true" t="shared" si="15" ref="AC7:AC26">G7*111.72*5%</f>
        <v>3.6867600000000005</v>
      </c>
      <c r="AD7" s="181">
        <f>'[1]Dang ky kenh 2014'!$H$28</f>
        <v>2.9850000000000003</v>
      </c>
      <c r="AE7" s="183">
        <f t="shared" si="6"/>
        <v>1049.5</v>
      </c>
      <c r="AF7" s="184">
        <f>'[2]Sheet1'!$G$46+'[2]Sheet1'!$G$54+'[2]Sheet1'!$G$46</f>
        <v>0</v>
      </c>
      <c r="AG7" s="185">
        <f>159+42</f>
        <v>201</v>
      </c>
      <c r="AH7" s="185"/>
      <c r="AI7" s="185"/>
      <c r="AJ7" s="185"/>
      <c r="AK7" s="185"/>
      <c r="AL7" s="185"/>
      <c r="AM7" s="169"/>
      <c r="AN7" s="168"/>
      <c r="AO7" s="168"/>
      <c r="AP7" s="185"/>
      <c r="AQ7" s="185"/>
      <c r="AR7" s="185"/>
      <c r="AS7" s="185"/>
      <c r="AT7" s="185"/>
      <c r="AU7" s="185"/>
      <c r="AV7" s="185"/>
      <c r="AW7" s="185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6"/>
      <c r="BV7" s="186"/>
      <c r="BW7" s="186"/>
      <c r="BX7" s="186"/>
      <c r="BY7" s="186"/>
      <c r="BZ7" s="186"/>
    </row>
    <row r="8" spans="1:78" s="125" customFormat="1" ht="15.75" customHeight="1">
      <c r="A8" s="172">
        <v>3</v>
      </c>
      <c r="B8" s="173" t="s">
        <v>166</v>
      </c>
      <c r="C8" s="174">
        <f t="shared" si="7"/>
        <v>3.15</v>
      </c>
      <c r="D8" s="187"/>
      <c r="E8" s="177">
        <v>1.2</v>
      </c>
      <c r="F8" s="177">
        <v>1.95</v>
      </c>
      <c r="G8" s="177"/>
      <c r="H8" s="177"/>
      <c r="I8" s="177">
        <f t="shared" si="8"/>
        <v>425.50199999999995</v>
      </c>
      <c r="J8" s="530">
        <f t="shared" si="0"/>
        <v>2.35</v>
      </c>
      <c r="K8" s="178">
        <f t="shared" si="1"/>
        <v>2.35</v>
      </c>
      <c r="L8" s="179"/>
      <c r="M8" s="612">
        <v>0.2</v>
      </c>
      <c r="N8" s="612">
        <v>2.15</v>
      </c>
      <c r="O8" s="612"/>
      <c r="P8" s="179"/>
      <c r="Q8" s="615">
        <v>260</v>
      </c>
      <c r="R8" s="180">
        <f t="shared" si="9"/>
        <v>100.08539999999998</v>
      </c>
      <c r="S8" s="181">
        <f t="shared" si="2"/>
        <v>0</v>
      </c>
      <c r="T8" s="181">
        <f t="shared" si="3"/>
        <v>31.147199999999998</v>
      </c>
      <c r="U8" s="181">
        <f t="shared" si="4"/>
        <v>65.35619999999999</v>
      </c>
      <c r="V8" s="181">
        <f t="shared" si="5"/>
        <v>0</v>
      </c>
      <c r="W8" s="181">
        <f>'[1]Dang ky kenh 2014'!$G$9</f>
        <v>3.5820000000000003</v>
      </c>
      <c r="X8" s="182">
        <f t="shared" si="10"/>
        <v>33.4</v>
      </c>
      <c r="Y8" s="182">
        <f t="shared" si="11"/>
        <v>33.3618</v>
      </c>
      <c r="Z8" s="181">
        <f t="shared" si="12"/>
        <v>0</v>
      </c>
      <c r="AA8" s="181">
        <f t="shared" si="13"/>
        <v>10.3824</v>
      </c>
      <c r="AB8" s="181">
        <f t="shared" si="14"/>
        <v>21.7854</v>
      </c>
      <c r="AC8" s="181">
        <f t="shared" si="15"/>
        <v>0</v>
      </c>
      <c r="AD8" s="181">
        <f>'[1]Dang ky kenh 2014'!$H$9</f>
        <v>1.1940000000000002</v>
      </c>
      <c r="AE8" s="183">
        <f t="shared" si="6"/>
        <v>295.75</v>
      </c>
      <c r="AF8" s="188"/>
      <c r="AG8" s="188"/>
      <c r="AH8" s="188"/>
      <c r="AI8" s="188"/>
      <c r="AJ8" s="188"/>
      <c r="AK8" s="188"/>
      <c r="AL8" s="188"/>
      <c r="AM8" s="169"/>
      <c r="AN8" s="168"/>
      <c r="AO8" s="168"/>
      <c r="AP8" s="188"/>
      <c r="AQ8" s="188"/>
      <c r="AR8" s="188"/>
      <c r="AS8" s="188"/>
      <c r="AT8" s="188"/>
      <c r="AU8" s="188"/>
      <c r="AV8" s="188"/>
      <c r="AW8" s="188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6"/>
      <c r="BV8" s="186"/>
      <c r="BW8" s="186"/>
      <c r="BX8" s="186"/>
      <c r="BY8" s="186"/>
      <c r="BZ8" s="186"/>
    </row>
    <row r="9" spans="1:78" s="125" customFormat="1" ht="15.75" customHeight="1">
      <c r="A9" s="172">
        <v>4</v>
      </c>
      <c r="B9" s="173" t="s">
        <v>167</v>
      </c>
      <c r="C9" s="174">
        <f t="shared" si="7"/>
        <v>10.4</v>
      </c>
      <c r="D9" s="187"/>
      <c r="E9" s="177">
        <v>2.5</v>
      </c>
      <c r="F9" s="177">
        <v>6.5</v>
      </c>
      <c r="G9" s="177">
        <v>1</v>
      </c>
      <c r="H9" s="177">
        <v>0.4</v>
      </c>
      <c r="I9" s="177">
        <f t="shared" si="8"/>
        <v>1321.5720000000001</v>
      </c>
      <c r="J9" s="530">
        <f t="shared" si="0"/>
        <v>5</v>
      </c>
      <c r="K9" s="178">
        <f t="shared" si="1"/>
        <v>5</v>
      </c>
      <c r="L9" s="179"/>
      <c r="M9" s="612">
        <v>1</v>
      </c>
      <c r="N9" s="612">
        <v>4</v>
      </c>
      <c r="O9" s="612"/>
      <c r="P9" s="179"/>
      <c r="Q9" s="615">
        <v>650</v>
      </c>
      <c r="R9" s="180">
        <f t="shared" si="9"/>
        <v>299.50199999999995</v>
      </c>
      <c r="S9" s="181">
        <f t="shared" si="2"/>
        <v>0</v>
      </c>
      <c r="T9" s="181">
        <f t="shared" si="3"/>
        <v>64.88999999999999</v>
      </c>
      <c r="U9" s="181">
        <f t="shared" si="4"/>
        <v>217.85399999999998</v>
      </c>
      <c r="V9" s="181">
        <f t="shared" si="5"/>
        <v>16.758</v>
      </c>
      <c r="W9" s="181">
        <v>0</v>
      </c>
      <c r="X9" s="182">
        <f t="shared" si="10"/>
        <v>99.8</v>
      </c>
      <c r="Y9" s="182">
        <f t="shared" si="11"/>
        <v>99.83399999999999</v>
      </c>
      <c r="Z9" s="181">
        <f t="shared" si="12"/>
        <v>0</v>
      </c>
      <c r="AA9" s="181">
        <f t="shared" si="13"/>
        <v>21.63</v>
      </c>
      <c r="AB9" s="181">
        <f t="shared" si="14"/>
        <v>72.618</v>
      </c>
      <c r="AC9" s="181">
        <f t="shared" si="15"/>
        <v>5.586</v>
      </c>
      <c r="AD9" s="181">
        <v>0</v>
      </c>
      <c r="AE9" s="183">
        <f t="shared" si="6"/>
        <v>754.8</v>
      </c>
      <c r="AF9" s="184">
        <f>'[2]Sheet1'!$G$23+'[2]Sheet1'!$G$24</f>
        <v>0</v>
      </c>
      <c r="AG9" s="185"/>
      <c r="AH9" s="185"/>
      <c r="AI9" s="185"/>
      <c r="AJ9" s="185"/>
      <c r="AK9" s="185"/>
      <c r="AL9" s="185"/>
      <c r="AM9" s="169"/>
      <c r="AN9" s="168"/>
      <c r="AO9" s="168"/>
      <c r="AP9" s="185"/>
      <c r="AQ9" s="185"/>
      <c r="AR9" s="185"/>
      <c r="AS9" s="185"/>
      <c r="AT9" s="185"/>
      <c r="AU9" s="185"/>
      <c r="AV9" s="185"/>
      <c r="AW9" s="185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6"/>
      <c r="BV9" s="186"/>
      <c r="BW9" s="186"/>
      <c r="BX9" s="186"/>
      <c r="BY9" s="186"/>
      <c r="BZ9" s="186"/>
    </row>
    <row r="10" spans="1:78" s="125" customFormat="1" ht="15.75" customHeight="1">
      <c r="A10" s="172">
        <v>5</v>
      </c>
      <c r="B10" s="173" t="s">
        <v>168</v>
      </c>
      <c r="C10" s="174">
        <f t="shared" si="7"/>
        <v>2</v>
      </c>
      <c r="D10" s="187"/>
      <c r="E10" s="177">
        <v>1</v>
      </c>
      <c r="F10" s="177">
        <v>1</v>
      </c>
      <c r="G10" s="177"/>
      <c r="H10" s="177"/>
      <c r="I10" s="177">
        <f t="shared" si="8"/>
        <v>284.76</v>
      </c>
      <c r="J10" s="530">
        <f t="shared" si="0"/>
        <v>0.3</v>
      </c>
      <c r="K10" s="178">
        <f t="shared" si="1"/>
        <v>0.3</v>
      </c>
      <c r="L10" s="179"/>
      <c r="M10" s="612">
        <v>0.3</v>
      </c>
      <c r="N10" s="612"/>
      <c r="O10" s="612"/>
      <c r="P10" s="179"/>
      <c r="Q10" s="615">
        <v>132</v>
      </c>
      <c r="R10" s="180">
        <f t="shared" si="9"/>
        <v>59.471999999999994</v>
      </c>
      <c r="S10" s="181">
        <f t="shared" si="2"/>
        <v>0</v>
      </c>
      <c r="T10" s="181">
        <f t="shared" si="3"/>
        <v>25.956</v>
      </c>
      <c r="U10" s="181">
        <f t="shared" si="4"/>
        <v>33.516</v>
      </c>
      <c r="V10" s="181">
        <f t="shared" si="5"/>
        <v>0</v>
      </c>
      <c r="W10" s="181">
        <v>0</v>
      </c>
      <c r="X10" s="182">
        <f t="shared" si="10"/>
        <v>19.8</v>
      </c>
      <c r="Y10" s="182">
        <f t="shared" si="11"/>
        <v>19.823999999999998</v>
      </c>
      <c r="Z10" s="181">
        <f t="shared" si="12"/>
        <v>0</v>
      </c>
      <c r="AA10" s="181">
        <f t="shared" si="13"/>
        <v>8.652</v>
      </c>
      <c r="AB10" s="181">
        <f t="shared" si="14"/>
        <v>11.172</v>
      </c>
      <c r="AC10" s="181">
        <f t="shared" si="15"/>
        <v>0</v>
      </c>
      <c r="AD10" s="181">
        <v>0</v>
      </c>
      <c r="AE10" s="183">
        <f t="shared" si="6"/>
        <v>152.10000000000002</v>
      </c>
      <c r="AF10" s="184"/>
      <c r="AG10" s="185"/>
      <c r="AH10" s="185"/>
      <c r="AI10" s="185"/>
      <c r="AJ10" s="185"/>
      <c r="AK10" s="185"/>
      <c r="AL10" s="185"/>
      <c r="AM10" s="169"/>
      <c r="AN10" s="168"/>
      <c r="AO10" s="168"/>
      <c r="AP10" s="185"/>
      <c r="AQ10" s="185"/>
      <c r="AR10" s="185"/>
      <c r="AS10" s="185"/>
      <c r="AT10" s="185"/>
      <c r="AU10" s="185"/>
      <c r="AV10" s="185"/>
      <c r="AW10" s="185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6"/>
      <c r="BV10" s="186"/>
      <c r="BW10" s="186"/>
      <c r="BX10" s="186"/>
      <c r="BY10" s="186"/>
      <c r="BZ10" s="186"/>
    </row>
    <row r="11" spans="1:78" s="125" customFormat="1" ht="15.75" customHeight="1">
      <c r="A11" s="172">
        <v>6</v>
      </c>
      <c r="B11" s="173" t="s">
        <v>169</v>
      </c>
      <c r="C11" s="174">
        <f t="shared" si="7"/>
        <v>2.04</v>
      </c>
      <c r="D11" s="187"/>
      <c r="E11" s="177"/>
      <c r="F11" s="177">
        <v>2.04</v>
      </c>
      <c r="G11" s="177"/>
      <c r="H11" s="177"/>
      <c r="I11" s="177">
        <f t="shared" si="8"/>
        <v>227.9088</v>
      </c>
      <c r="J11" s="530">
        <f t="shared" si="0"/>
        <v>2.04</v>
      </c>
      <c r="K11" s="178">
        <f t="shared" si="1"/>
        <v>2.04</v>
      </c>
      <c r="L11" s="179"/>
      <c r="M11" s="612"/>
      <c r="N11" s="612">
        <v>2.04</v>
      </c>
      <c r="O11" s="612"/>
      <c r="P11" s="179"/>
      <c r="Q11" s="615">
        <v>232</v>
      </c>
      <c r="R11" s="180">
        <f t="shared" si="9"/>
        <v>68.99949000000001</v>
      </c>
      <c r="S11" s="181">
        <f t="shared" si="2"/>
        <v>0</v>
      </c>
      <c r="T11" s="181">
        <f t="shared" si="3"/>
        <v>0</v>
      </c>
      <c r="U11" s="181">
        <f t="shared" si="4"/>
        <v>68.37264</v>
      </c>
      <c r="V11" s="181">
        <f t="shared" si="5"/>
        <v>0</v>
      </c>
      <c r="W11" s="181">
        <f>'[1]Dang ky kenh 2014'!$G$11</f>
        <v>0.62685</v>
      </c>
      <c r="X11" s="182">
        <f t="shared" si="10"/>
        <v>23</v>
      </c>
      <c r="Y11" s="182">
        <f t="shared" si="11"/>
        <v>22.999830000000003</v>
      </c>
      <c r="Z11" s="181">
        <f t="shared" si="12"/>
        <v>0</v>
      </c>
      <c r="AA11" s="181">
        <f t="shared" si="13"/>
        <v>0</v>
      </c>
      <c r="AB11" s="181">
        <f t="shared" si="14"/>
        <v>22.79088</v>
      </c>
      <c r="AC11" s="181">
        <f t="shared" si="15"/>
        <v>0</v>
      </c>
      <c r="AD11" s="181">
        <f>'[1]Dang ky kenh 2014'!$H$11</f>
        <v>0.20895000000000002</v>
      </c>
      <c r="AE11" s="183">
        <f t="shared" si="6"/>
        <v>257.03999999999996</v>
      </c>
      <c r="AF11" s="188">
        <f>'[2]Sheet1'!$G$28+'[2]Sheet1'!$G$33+'[2]Sheet1'!$G$41+33</f>
        <v>33</v>
      </c>
      <c r="AG11" s="188">
        <v>165</v>
      </c>
      <c r="AH11" s="188"/>
      <c r="AI11" s="188"/>
      <c r="AJ11" s="188"/>
      <c r="AK11" s="188"/>
      <c r="AL11" s="188"/>
      <c r="AM11" s="169"/>
      <c r="AN11" s="168"/>
      <c r="AO11" s="168"/>
      <c r="AP11" s="188"/>
      <c r="AQ11" s="188"/>
      <c r="AR11" s="188"/>
      <c r="AS11" s="185"/>
      <c r="AT11" s="185"/>
      <c r="AU11" s="185"/>
      <c r="AV11" s="185"/>
      <c r="AW11" s="185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88"/>
      <c r="BK11" s="188"/>
      <c r="BL11" s="188"/>
      <c r="BM11" s="188"/>
      <c r="BN11" s="188"/>
      <c r="BO11" s="188"/>
      <c r="BP11" s="185"/>
      <c r="BQ11" s="185"/>
      <c r="BR11" s="185"/>
      <c r="BS11" s="185"/>
      <c r="BT11" s="185"/>
      <c r="BU11" s="186"/>
      <c r="BV11" s="186"/>
      <c r="BW11" s="186"/>
      <c r="BX11" s="186"/>
      <c r="BY11" s="186"/>
      <c r="BZ11" s="186"/>
    </row>
    <row r="12" spans="1:78" s="194" customFormat="1" ht="15.75" customHeight="1">
      <c r="A12" s="172">
        <v>7</v>
      </c>
      <c r="B12" s="173" t="s">
        <v>170</v>
      </c>
      <c r="C12" s="174">
        <f t="shared" si="7"/>
        <v>6</v>
      </c>
      <c r="D12" s="187"/>
      <c r="E12" s="177"/>
      <c r="F12" s="177">
        <v>4</v>
      </c>
      <c r="G12" s="177">
        <v>2</v>
      </c>
      <c r="H12" s="177"/>
      <c r="I12" s="177">
        <f t="shared" si="8"/>
        <v>670.3199999999999</v>
      </c>
      <c r="J12" s="530">
        <f t="shared" si="0"/>
        <v>3</v>
      </c>
      <c r="K12" s="178">
        <f t="shared" si="1"/>
        <v>3</v>
      </c>
      <c r="L12" s="179"/>
      <c r="M12" s="612"/>
      <c r="N12" s="612">
        <v>3</v>
      </c>
      <c r="O12" s="612"/>
      <c r="P12" s="179"/>
      <c r="Q12" s="615">
        <v>400</v>
      </c>
      <c r="R12" s="180">
        <f t="shared" si="9"/>
        <v>194.54091</v>
      </c>
      <c r="S12" s="181">
        <f t="shared" si="2"/>
        <v>0</v>
      </c>
      <c r="T12" s="181">
        <f t="shared" si="3"/>
        <v>0</v>
      </c>
      <c r="U12" s="181">
        <f t="shared" si="4"/>
        <v>134.064</v>
      </c>
      <c r="V12" s="181">
        <f t="shared" si="5"/>
        <v>33.516</v>
      </c>
      <c r="W12" s="181">
        <f>'[1]Dang ky kenh 2014'!$G$20</f>
        <v>26.96091</v>
      </c>
      <c r="X12" s="182">
        <f t="shared" si="10"/>
        <v>64.8</v>
      </c>
      <c r="Y12" s="182">
        <f t="shared" si="11"/>
        <v>64.84697</v>
      </c>
      <c r="Z12" s="181">
        <f t="shared" si="12"/>
        <v>0</v>
      </c>
      <c r="AA12" s="181">
        <f t="shared" si="13"/>
        <v>0</v>
      </c>
      <c r="AB12" s="181">
        <f t="shared" si="14"/>
        <v>44.688</v>
      </c>
      <c r="AC12" s="181">
        <f t="shared" si="15"/>
        <v>11.172</v>
      </c>
      <c r="AD12" s="181">
        <f>'[1]Dang ky kenh 2014'!$H$20</f>
        <v>8.98697</v>
      </c>
      <c r="AE12" s="183">
        <f t="shared" si="6"/>
        <v>467.8</v>
      </c>
      <c r="AF12" s="184"/>
      <c r="AG12" s="189"/>
      <c r="AH12" s="189"/>
      <c r="AI12" s="189"/>
      <c r="AJ12" s="189"/>
      <c r="AK12" s="189"/>
      <c r="AL12" s="189"/>
      <c r="AM12" s="190"/>
      <c r="AN12" s="191"/>
      <c r="AO12" s="191"/>
      <c r="AP12" s="189"/>
      <c r="AQ12" s="189"/>
      <c r="AR12" s="189"/>
      <c r="AS12" s="189"/>
      <c r="AT12" s="189"/>
      <c r="AU12" s="189"/>
      <c r="AV12" s="189"/>
      <c r="AW12" s="189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93"/>
      <c r="BV12" s="193"/>
      <c r="BW12" s="193"/>
      <c r="BX12" s="193"/>
      <c r="BY12" s="193"/>
      <c r="BZ12" s="193"/>
    </row>
    <row r="13" spans="1:78" s="125" customFormat="1" ht="15.75" customHeight="1">
      <c r="A13" s="172">
        <v>8</v>
      </c>
      <c r="B13" s="173" t="s">
        <v>171</v>
      </c>
      <c r="C13" s="174">
        <f t="shared" si="7"/>
        <v>6.5</v>
      </c>
      <c r="D13" s="187"/>
      <c r="E13" s="177">
        <v>1.15</v>
      </c>
      <c r="F13" s="177">
        <v>3.35</v>
      </c>
      <c r="G13" s="177">
        <v>1</v>
      </c>
      <c r="H13" s="177">
        <v>1</v>
      </c>
      <c r="I13" s="177">
        <f t="shared" si="8"/>
        <v>812.6579999999999</v>
      </c>
      <c r="J13" s="530">
        <f t="shared" si="0"/>
        <v>1.3</v>
      </c>
      <c r="K13" s="178">
        <f t="shared" si="1"/>
        <v>1.3</v>
      </c>
      <c r="L13" s="179"/>
      <c r="M13" s="612"/>
      <c r="N13" s="612">
        <v>1.3</v>
      </c>
      <c r="O13" s="612"/>
      <c r="P13" s="179"/>
      <c r="Q13" s="615">
        <v>238</v>
      </c>
      <c r="R13" s="180">
        <f t="shared" si="9"/>
        <v>166.74599999999998</v>
      </c>
      <c r="S13" s="181">
        <f t="shared" si="2"/>
        <v>0</v>
      </c>
      <c r="T13" s="181">
        <f t="shared" si="3"/>
        <v>29.849399999999996</v>
      </c>
      <c r="U13" s="181">
        <f t="shared" si="4"/>
        <v>112.2786</v>
      </c>
      <c r="V13" s="181">
        <f t="shared" si="5"/>
        <v>16.758</v>
      </c>
      <c r="W13" s="181">
        <f>'[1]Dang ky kenh 2014'!$G$12</f>
        <v>7.859999999999999</v>
      </c>
      <c r="X13" s="182">
        <f t="shared" si="10"/>
        <v>55.6</v>
      </c>
      <c r="Y13" s="182">
        <f t="shared" si="11"/>
        <v>55.582</v>
      </c>
      <c r="Z13" s="181">
        <f t="shared" si="12"/>
        <v>0</v>
      </c>
      <c r="AA13" s="181">
        <f t="shared" si="13"/>
        <v>9.9498</v>
      </c>
      <c r="AB13" s="181">
        <f t="shared" si="14"/>
        <v>37.4262</v>
      </c>
      <c r="AC13" s="181">
        <f t="shared" si="15"/>
        <v>5.586</v>
      </c>
      <c r="AD13" s="181">
        <f>'[1]Dang ky kenh 2014'!$H$12</f>
        <v>2.62</v>
      </c>
      <c r="AE13" s="183">
        <f t="shared" si="6"/>
        <v>294.90000000000003</v>
      </c>
      <c r="AF13" s="184"/>
      <c r="AG13" s="185"/>
      <c r="AH13" s="185"/>
      <c r="AI13" s="169"/>
      <c r="AJ13" s="169"/>
      <c r="AK13" s="169"/>
      <c r="AL13" s="169"/>
      <c r="AM13" s="169"/>
      <c r="AN13" s="168"/>
      <c r="AO13" s="168"/>
      <c r="AP13" s="169"/>
      <c r="AQ13" s="169"/>
      <c r="AR13" s="169"/>
      <c r="AS13" s="169"/>
      <c r="AT13" s="169"/>
      <c r="AU13" s="169"/>
      <c r="AV13" s="169"/>
      <c r="AW13" s="169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86"/>
      <c r="BV13" s="186"/>
      <c r="BW13" s="186"/>
      <c r="BX13" s="186"/>
      <c r="BY13" s="186"/>
      <c r="BZ13" s="186"/>
    </row>
    <row r="14" spans="1:78" s="125" customFormat="1" ht="15.75" customHeight="1">
      <c r="A14" s="172">
        <v>9</v>
      </c>
      <c r="B14" s="173" t="s">
        <v>172</v>
      </c>
      <c r="C14" s="174">
        <f t="shared" si="7"/>
        <v>3.16</v>
      </c>
      <c r="D14" s="177">
        <v>1</v>
      </c>
      <c r="E14" s="177"/>
      <c r="F14" s="177">
        <v>1.31</v>
      </c>
      <c r="G14" s="177">
        <v>0.85</v>
      </c>
      <c r="H14" s="177"/>
      <c r="I14" s="177">
        <f t="shared" si="8"/>
        <v>435.98519999999996</v>
      </c>
      <c r="J14" s="530">
        <f t="shared" si="0"/>
        <v>1.5</v>
      </c>
      <c r="K14" s="178">
        <f t="shared" si="1"/>
        <v>1.5</v>
      </c>
      <c r="L14" s="179"/>
      <c r="M14" s="612"/>
      <c r="N14" s="612">
        <v>1.5</v>
      </c>
      <c r="O14" s="612"/>
      <c r="P14" s="179"/>
      <c r="Q14" s="615">
        <v>170</v>
      </c>
      <c r="R14" s="180">
        <f t="shared" si="9"/>
        <v>87.35076</v>
      </c>
      <c r="S14" s="181">
        <f t="shared" si="2"/>
        <v>29.200499999999998</v>
      </c>
      <c r="T14" s="181">
        <f t="shared" si="3"/>
        <v>0</v>
      </c>
      <c r="U14" s="181">
        <f t="shared" si="4"/>
        <v>43.90596</v>
      </c>
      <c r="V14" s="181">
        <f t="shared" si="5"/>
        <v>14.2443</v>
      </c>
      <c r="W14" s="181">
        <v>0</v>
      </c>
      <c r="X14" s="182">
        <f t="shared" si="10"/>
        <v>29.1</v>
      </c>
      <c r="Y14" s="182">
        <f t="shared" si="11"/>
        <v>29.11692</v>
      </c>
      <c r="Z14" s="181">
        <f t="shared" si="12"/>
        <v>9.7335</v>
      </c>
      <c r="AA14" s="181">
        <f t="shared" si="13"/>
        <v>0</v>
      </c>
      <c r="AB14" s="181">
        <f t="shared" si="14"/>
        <v>14.635320000000002</v>
      </c>
      <c r="AC14" s="181">
        <f t="shared" si="15"/>
        <v>4.7481</v>
      </c>
      <c r="AD14" s="181">
        <v>0</v>
      </c>
      <c r="AE14" s="183">
        <f t="shared" si="6"/>
        <v>200.6</v>
      </c>
      <c r="AF14" s="188"/>
      <c r="AG14" s="188"/>
      <c r="AH14" s="188"/>
      <c r="AI14" s="188"/>
      <c r="AJ14" s="188"/>
      <c r="AK14" s="188"/>
      <c r="AL14" s="188"/>
      <c r="AM14" s="169"/>
      <c r="AN14" s="168"/>
      <c r="AO14" s="168"/>
      <c r="AP14" s="188"/>
      <c r="AQ14" s="188"/>
      <c r="AR14" s="188"/>
      <c r="AS14" s="188"/>
      <c r="AT14" s="188"/>
      <c r="AU14" s="188"/>
      <c r="AV14" s="188"/>
      <c r="AW14" s="188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6"/>
      <c r="BV14" s="186"/>
      <c r="BW14" s="186"/>
      <c r="BX14" s="186"/>
      <c r="BY14" s="186"/>
      <c r="BZ14" s="186"/>
    </row>
    <row r="15" spans="1:78" s="125" customFormat="1" ht="15.75" customHeight="1">
      <c r="A15" s="172">
        <v>10</v>
      </c>
      <c r="B15" s="173" t="s">
        <v>173</v>
      </c>
      <c r="C15" s="174">
        <f t="shared" si="7"/>
        <v>4.4</v>
      </c>
      <c r="D15" s="187"/>
      <c r="E15" s="177">
        <v>2.1</v>
      </c>
      <c r="F15" s="177">
        <v>2.3</v>
      </c>
      <c r="G15" s="177"/>
      <c r="H15" s="177"/>
      <c r="I15" s="177">
        <f t="shared" si="8"/>
        <v>620.3399999999999</v>
      </c>
      <c r="J15" s="530">
        <f t="shared" si="0"/>
        <v>2.06</v>
      </c>
      <c r="K15" s="178">
        <f t="shared" si="1"/>
        <v>2.06</v>
      </c>
      <c r="L15" s="179"/>
      <c r="M15" s="612">
        <v>0.76</v>
      </c>
      <c r="N15" s="612">
        <v>1.3</v>
      </c>
      <c r="O15" s="612"/>
      <c r="P15" s="179"/>
      <c r="Q15" s="615">
        <v>297</v>
      </c>
      <c r="R15" s="180">
        <f t="shared" si="9"/>
        <v>140.47619999999998</v>
      </c>
      <c r="S15" s="181">
        <f t="shared" si="2"/>
        <v>0</v>
      </c>
      <c r="T15" s="181">
        <f t="shared" si="3"/>
        <v>54.507600000000004</v>
      </c>
      <c r="U15" s="181">
        <f t="shared" si="4"/>
        <v>77.08679999999998</v>
      </c>
      <c r="V15" s="181">
        <f t="shared" si="5"/>
        <v>0</v>
      </c>
      <c r="W15" s="181">
        <f>'[1]Dang ky kenh 2014'!$G$19</f>
        <v>8.881799999999998</v>
      </c>
      <c r="X15" s="182">
        <f t="shared" si="10"/>
        <v>46.8</v>
      </c>
      <c r="Y15" s="182">
        <f t="shared" si="11"/>
        <v>46.8254</v>
      </c>
      <c r="Z15" s="181">
        <f t="shared" si="12"/>
        <v>0</v>
      </c>
      <c r="AA15" s="181">
        <f t="shared" si="13"/>
        <v>18.1692</v>
      </c>
      <c r="AB15" s="181">
        <f t="shared" si="14"/>
        <v>25.6956</v>
      </c>
      <c r="AC15" s="181">
        <f t="shared" si="15"/>
        <v>0</v>
      </c>
      <c r="AD15" s="181">
        <f>'[1]Dang ky kenh 2014'!$H$19</f>
        <v>2.9606</v>
      </c>
      <c r="AE15" s="183">
        <f t="shared" si="6"/>
        <v>345.86</v>
      </c>
      <c r="AF15" s="184">
        <f>'[2]Sheet1'!$G$38</f>
        <v>0</v>
      </c>
      <c r="AG15" s="185"/>
      <c r="AH15" s="185"/>
      <c r="AI15" s="185"/>
      <c r="AJ15" s="185"/>
      <c r="AK15" s="185"/>
      <c r="AL15" s="185"/>
      <c r="AM15" s="169"/>
      <c r="AN15" s="168"/>
      <c r="AO15" s="168"/>
      <c r="AP15" s="185"/>
      <c r="AQ15" s="185"/>
      <c r="AR15" s="185"/>
      <c r="AS15" s="185"/>
      <c r="AT15" s="185"/>
      <c r="AU15" s="185"/>
      <c r="AV15" s="185"/>
      <c r="AW15" s="185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6"/>
      <c r="BV15" s="186"/>
      <c r="BW15" s="186"/>
      <c r="BX15" s="186"/>
      <c r="BY15" s="186"/>
      <c r="BZ15" s="186"/>
    </row>
    <row r="16" spans="1:78" s="125" customFormat="1" ht="15.75" customHeight="1">
      <c r="A16" s="172">
        <v>11</v>
      </c>
      <c r="B16" s="173" t="s">
        <v>174</v>
      </c>
      <c r="C16" s="174">
        <f t="shared" si="7"/>
        <v>3.25</v>
      </c>
      <c r="D16" s="187"/>
      <c r="E16" s="195"/>
      <c r="F16" s="177">
        <v>3.05</v>
      </c>
      <c r="G16" s="177">
        <v>0.2</v>
      </c>
      <c r="H16" s="177"/>
      <c r="I16" s="177">
        <f t="shared" si="8"/>
        <v>363.09</v>
      </c>
      <c r="J16" s="530">
        <f t="shared" si="0"/>
        <v>2.5690000000000004</v>
      </c>
      <c r="K16" s="178">
        <f t="shared" si="1"/>
        <v>2.5690000000000004</v>
      </c>
      <c r="L16" s="179"/>
      <c r="M16" s="612"/>
      <c r="N16" s="612">
        <v>2.369</v>
      </c>
      <c r="O16" s="612">
        <v>0.2</v>
      </c>
      <c r="P16" s="179"/>
      <c r="Q16" s="615">
        <v>360</v>
      </c>
      <c r="R16" s="180">
        <f t="shared" si="9"/>
        <v>105.5754</v>
      </c>
      <c r="S16" s="181">
        <f t="shared" si="2"/>
        <v>0</v>
      </c>
      <c r="T16" s="181">
        <f t="shared" si="3"/>
        <v>0</v>
      </c>
      <c r="U16" s="181">
        <f t="shared" si="4"/>
        <v>102.2238</v>
      </c>
      <c r="V16" s="181">
        <f t="shared" si="5"/>
        <v>3.3516</v>
      </c>
      <c r="W16" s="181">
        <v>0</v>
      </c>
      <c r="X16" s="182">
        <f t="shared" si="10"/>
        <v>35.2</v>
      </c>
      <c r="Y16" s="182">
        <f t="shared" si="11"/>
        <v>35.19179999999999</v>
      </c>
      <c r="Z16" s="181">
        <f t="shared" si="12"/>
        <v>0</v>
      </c>
      <c r="AA16" s="181">
        <f t="shared" si="13"/>
        <v>0</v>
      </c>
      <c r="AB16" s="181">
        <f t="shared" si="14"/>
        <v>34.0746</v>
      </c>
      <c r="AC16" s="181">
        <f t="shared" si="15"/>
        <v>1.1172000000000002</v>
      </c>
      <c r="AD16" s="181">
        <v>0</v>
      </c>
      <c r="AE16" s="183">
        <f t="shared" si="6"/>
        <v>397.769</v>
      </c>
      <c r="AF16" s="196">
        <f>'[2]Sheet1'!$G$45+'[2]Sheet1'!$G$35+'[2]Sheet1'!$G$12+'[2]Sheet1'!$G$7+33</f>
        <v>33</v>
      </c>
      <c r="AG16" s="169"/>
      <c r="AH16" s="169"/>
      <c r="AI16" s="169"/>
      <c r="AJ16" s="169"/>
      <c r="AK16" s="169"/>
      <c r="AL16" s="169"/>
      <c r="AM16" s="169"/>
      <c r="AN16" s="168"/>
      <c r="AO16" s="168"/>
      <c r="AP16" s="169"/>
      <c r="AQ16" s="169"/>
      <c r="AR16" s="169"/>
      <c r="AS16" s="169"/>
      <c r="AT16" s="169"/>
      <c r="AU16" s="169"/>
      <c r="AV16" s="169"/>
      <c r="AW16" s="169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86"/>
      <c r="BV16" s="186"/>
      <c r="BW16" s="186"/>
      <c r="BX16" s="186"/>
      <c r="BY16" s="186"/>
      <c r="BZ16" s="186"/>
    </row>
    <row r="17" spans="1:78" s="125" customFormat="1" ht="15.75" customHeight="1">
      <c r="A17" s="172">
        <v>12</v>
      </c>
      <c r="B17" s="173" t="s">
        <v>175</v>
      </c>
      <c r="C17" s="174">
        <f t="shared" si="7"/>
        <v>2.06</v>
      </c>
      <c r="D17" s="187"/>
      <c r="E17" s="177">
        <v>0.15</v>
      </c>
      <c r="F17" s="177">
        <v>1.91</v>
      </c>
      <c r="G17" s="177"/>
      <c r="H17" s="177"/>
      <c r="I17" s="177">
        <f t="shared" si="8"/>
        <v>239.3412</v>
      </c>
      <c r="J17" s="530">
        <f t="shared" si="0"/>
        <v>0.6</v>
      </c>
      <c r="K17" s="178">
        <f t="shared" si="1"/>
        <v>0.6</v>
      </c>
      <c r="L17" s="179"/>
      <c r="M17" s="612"/>
      <c r="N17" s="612">
        <v>0.6</v>
      </c>
      <c r="O17" s="612"/>
      <c r="P17" s="179"/>
      <c r="Q17" s="615">
        <v>225</v>
      </c>
      <c r="R17" s="180">
        <f t="shared" si="9"/>
        <v>67.90896</v>
      </c>
      <c r="S17" s="181">
        <f t="shared" si="2"/>
        <v>0</v>
      </c>
      <c r="T17" s="181">
        <f t="shared" si="3"/>
        <v>3.8933999999999997</v>
      </c>
      <c r="U17" s="181">
        <f t="shared" si="4"/>
        <v>64.01556</v>
      </c>
      <c r="V17" s="181">
        <f t="shared" si="5"/>
        <v>0</v>
      </c>
      <c r="W17" s="181">
        <v>0</v>
      </c>
      <c r="X17" s="182">
        <f t="shared" si="10"/>
        <v>22.6</v>
      </c>
      <c r="Y17" s="182">
        <f t="shared" si="11"/>
        <v>22.63632</v>
      </c>
      <c r="Z17" s="181">
        <f t="shared" si="12"/>
        <v>0</v>
      </c>
      <c r="AA17" s="181">
        <f t="shared" si="13"/>
        <v>1.2978</v>
      </c>
      <c r="AB17" s="181">
        <f t="shared" si="14"/>
        <v>21.338520000000003</v>
      </c>
      <c r="AC17" s="181">
        <f t="shared" si="15"/>
        <v>0</v>
      </c>
      <c r="AD17" s="181">
        <v>0</v>
      </c>
      <c r="AE17" s="183">
        <f t="shared" si="6"/>
        <v>248.2</v>
      </c>
      <c r="AF17" s="196"/>
      <c r="AG17" s="169"/>
      <c r="AH17" s="169"/>
      <c r="AI17" s="169"/>
      <c r="AJ17" s="169"/>
      <c r="AK17" s="169"/>
      <c r="AL17" s="169"/>
      <c r="AM17" s="169"/>
      <c r="AN17" s="168"/>
      <c r="AO17" s="168"/>
      <c r="AP17" s="169"/>
      <c r="AQ17" s="169"/>
      <c r="AR17" s="169"/>
      <c r="AS17" s="169"/>
      <c r="AT17" s="169"/>
      <c r="AU17" s="169"/>
      <c r="AV17" s="169"/>
      <c r="AW17" s="169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86"/>
      <c r="BV17" s="186"/>
      <c r="BW17" s="186"/>
      <c r="BX17" s="186"/>
      <c r="BY17" s="186"/>
      <c r="BZ17" s="186"/>
    </row>
    <row r="18" spans="1:78" s="125" customFormat="1" ht="15.75" customHeight="1">
      <c r="A18" s="172">
        <v>13</v>
      </c>
      <c r="B18" s="173" t="s">
        <v>176</v>
      </c>
      <c r="C18" s="174">
        <f t="shared" si="7"/>
        <v>10.695</v>
      </c>
      <c r="D18" s="197"/>
      <c r="E18" s="197">
        <v>3.575</v>
      </c>
      <c r="F18" s="197">
        <v>7.12</v>
      </c>
      <c r="G18" s="197"/>
      <c r="H18" s="197"/>
      <c r="I18" s="177">
        <f t="shared" si="8"/>
        <v>1414.0644000000002</v>
      </c>
      <c r="J18" s="530">
        <f t="shared" si="0"/>
        <v>1.8</v>
      </c>
      <c r="K18" s="178">
        <f t="shared" si="1"/>
        <v>1.8</v>
      </c>
      <c r="L18" s="179"/>
      <c r="M18" s="612">
        <v>0.3</v>
      </c>
      <c r="N18" s="612">
        <v>1.5</v>
      </c>
      <c r="O18" s="612"/>
      <c r="P18" s="179"/>
      <c r="Q18" s="615">
        <f>185+33</f>
        <v>218</v>
      </c>
      <c r="R18" s="180">
        <f t="shared" si="9"/>
        <v>331.42662</v>
      </c>
      <c r="S18" s="181">
        <f t="shared" si="2"/>
        <v>0</v>
      </c>
      <c r="T18" s="181">
        <f t="shared" si="3"/>
        <v>92.79270000000001</v>
      </c>
      <c r="U18" s="181">
        <f t="shared" si="4"/>
        <v>238.63392</v>
      </c>
      <c r="V18" s="181">
        <f t="shared" si="5"/>
        <v>0</v>
      </c>
      <c r="W18" s="181">
        <v>0</v>
      </c>
      <c r="X18" s="182">
        <f t="shared" si="10"/>
        <v>110.5</v>
      </c>
      <c r="Y18" s="182">
        <f t="shared" si="11"/>
        <v>110.47554000000002</v>
      </c>
      <c r="Z18" s="181">
        <f t="shared" si="12"/>
        <v>0</v>
      </c>
      <c r="AA18" s="181">
        <f t="shared" si="13"/>
        <v>30.930900000000005</v>
      </c>
      <c r="AB18" s="181">
        <f t="shared" si="14"/>
        <v>79.54464000000002</v>
      </c>
      <c r="AC18" s="181">
        <f t="shared" si="15"/>
        <v>0</v>
      </c>
      <c r="AD18" s="181">
        <v>0</v>
      </c>
      <c r="AE18" s="183">
        <f t="shared" si="6"/>
        <v>330.3</v>
      </c>
      <c r="AF18" s="184">
        <f>'[2]Sheet1'!$G$9+'[2]Sheet1'!$G$16+'[2]Sheet1'!$G$21+'[2]Sheet1'!$G$37+33</f>
        <v>33</v>
      </c>
      <c r="AG18" s="185">
        <v>0.13</v>
      </c>
      <c r="AH18" s="185"/>
      <c r="AI18" s="185"/>
      <c r="AJ18" s="185"/>
      <c r="AK18" s="185"/>
      <c r="AL18" s="185"/>
      <c r="AM18" s="169"/>
      <c r="AN18" s="168"/>
      <c r="AO18" s="168"/>
      <c r="AP18" s="185"/>
      <c r="AQ18" s="185"/>
      <c r="AR18" s="185"/>
      <c r="AS18" s="185"/>
      <c r="AT18" s="185"/>
      <c r="AU18" s="185"/>
      <c r="AV18" s="185"/>
      <c r="AW18" s="185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6"/>
      <c r="BV18" s="186"/>
      <c r="BW18" s="186"/>
      <c r="BX18" s="186"/>
      <c r="BY18" s="186"/>
      <c r="BZ18" s="186"/>
    </row>
    <row r="19" spans="1:78" s="125" customFormat="1" ht="15.75" customHeight="1">
      <c r="A19" s="172">
        <v>14</v>
      </c>
      <c r="B19" s="173" t="s">
        <v>177</v>
      </c>
      <c r="C19" s="174">
        <f t="shared" si="7"/>
        <v>4.6</v>
      </c>
      <c r="D19" s="197"/>
      <c r="E19" s="195"/>
      <c r="F19" s="197">
        <v>4.25</v>
      </c>
      <c r="G19" s="197">
        <v>0.35</v>
      </c>
      <c r="H19" s="197"/>
      <c r="I19" s="177">
        <f t="shared" si="8"/>
        <v>513.9119999999999</v>
      </c>
      <c r="J19" s="530">
        <f t="shared" si="0"/>
        <v>3.6</v>
      </c>
      <c r="K19" s="178">
        <f t="shared" si="1"/>
        <v>3.6</v>
      </c>
      <c r="L19" s="179"/>
      <c r="M19" s="612">
        <v>3.25</v>
      </c>
      <c r="N19" s="612">
        <v>0.35</v>
      </c>
      <c r="O19" s="612"/>
      <c r="P19" s="179"/>
      <c r="Q19" s="615">
        <v>429</v>
      </c>
      <c r="R19" s="180">
        <f t="shared" si="9"/>
        <v>148.30829999999997</v>
      </c>
      <c r="S19" s="181">
        <f t="shared" si="2"/>
        <v>0</v>
      </c>
      <c r="T19" s="181">
        <f t="shared" si="3"/>
        <v>0</v>
      </c>
      <c r="U19" s="181">
        <f t="shared" si="4"/>
        <v>142.44299999999998</v>
      </c>
      <c r="V19" s="181">
        <f t="shared" si="5"/>
        <v>5.8652999999999995</v>
      </c>
      <c r="W19" s="181">
        <v>0</v>
      </c>
      <c r="X19" s="182">
        <f t="shared" si="10"/>
        <v>49.4</v>
      </c>
      <c r="Y19" s="182">
        <f t="shared" si="11"/>
        <v>49.4361</v>
      </c>
      <c r="Z19" s="181">
        <f t="shared" si="12"/>
        <v>0</v>
      </c>
      <c r="AA19" s="181">
        <f t="shared" si="13"/>
        <v>0</v>
      </c>
      <c r="AB19" s="181">
        <f t="shared" si="14"/>
        <v>47.481</v>
      </c>
      <c r="AC19" s="181">
        <f t="shared" si="15"/>
        <v>1.9550999999999998</v>
      </c>
      <c r="AD19" s="181">
        <v>0</v>
      </c>
      <c r="AE19" s="183">
        <f t="shared" si="6"/>
        <v>482</v>
      </c>
      <c r="AF19" s="196">
        <f>'[2]Sheet1'!$G$6+'[2]Sheet1'!$G$17+'[2]Sheet1'!$G$18+'[2]Sheet1'!$G$19+'[2]Sheet1'!$G$22+'[2]Sheet1'!$G$27+'[2]Sheet1'!$G$34+'[2]Sheet1'!$G$44+'[2]Sheet1'!$G$56+'[2]Sheet1'!$G$57</f>
        <v>0</v>
      </c>
      <c r="AG19" s="169"/>
      <c r="AH19" s="169"/>
      <c r="AI19" s="169"/>
      <c r="AJ19" s="169"/>
      <c r="AK19" s="169"/>
      <c r="AL19" s="169"/>
      <c r="AM19" s="169"/>
      <c r="AN19" s="168"/>
      <c r="AO19" s="168"/>
      <c r="AP19" s="169"/>
      <c r="AQ19" s="169"/>
      <c r="AR19" s="169"/>
      <c r="AS19" s="189"/>
      <c r="AT19" s="189"/>
      <c r="AU19" s="189"/>
      <c r="AV19" s="189"/>
      <c r="AW19" s="189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69"/>
      <c r="BK19" s="169"/>
      <c r="BL19" s="169"/>
      <c r="BM19" s="169"/>
      <c r="BN19" s="169"/>
      <c r="BO19" s="169"/>
      <c r="BP19" s="189"/>
      <c r="BQ19" s="189"/>
      <c r="BR19" s="189"/>
      <c r="BS19" s="189"/>
      <c r="BT19" s="189"/>
      <c r="BU19" s="186"/>
      <c r="BV19" s="186"/>
      <c r="BW19" s="186"/>
      <c r="BX19" s="186"/>
      <c r="BY19" s="186"/>
      <c r="BZ19" s="186"/>
    </row>
    <row r="20" spans="1:78" s="125" customFormat="1" ht="15.75" customHeight="1">
      <c r="A20" s="172">
        <v>15</v>
      </c>
      <c r="B20" s="173" t="s">
        <v>178</v>
      </c>
      <c r="C20" s="174">
        <f t="shared" si="7"/>
        <v>6.466</v>
      </c>
      <c r="D20" s="197"/>
      <c r="E20" s="197">
        <v>0.81</v>
      </c>
      <c r="F20" s="197">
        <v>2.906</v>
      </c>
      <c r="G20" s="197">
        <v>2.75</v>
      </c>
      <c r="H20" s="197"/>
      <c r="I20" s="177">
        <f t="shared" si="8"/>
        <v>772.05072</v>
      </c>
      <c r="J20" s="530">
        <f t="shared" si="0"/>
        <v>3.6999999999999997</v>
      </c>
      <c r="K20" s="178">
        <f t="shared" si="1"/>
        <v>3.6999999999999997</v>
      </c>
      <c r="L20" s="179"/>
      <c r="M20" s="612"/>
      <c r="N20" s="612">
        <v>2.3</v>
      </c>
      <c r="O20" s="612">
        <v>1.4</v>
      </c>
      <c r="P20" s="179"/>
      <c r="Q20" s="615">
        <v>479</v>
      </c>
      <c r="R20" s="180">
        <f t="shared" si="9"/>
        <v>177.709356</v>
      </c>
      <c r="S20" s="181">
        <f t="shared" si="2"/>
        <v>0</v>
      </c>
      <c r="T20" s="181">
        <f t="shared" si="3"/>
        <v>21.024359999999998</v>
      </c>
      <c r="U20" s="181">
        <f t="shared" si="4"/>
        <v>97.397496</v>
      </c>
      <c r="V20" s="181">
        <f t="shared" si="5"/>
        <v>46.0845</v>
      </c>
      <c r="W20" s="181">
        <f>'[1]Dang ky kenh 2014'!$G$13</f>
        <v>13.202999999999998</v>
      </c>
      <c r="X20" s="182">
        <f t="shared" si="10"/>
        <v>59.2</v>
      </c>
      <c r="Y20" s="182">
        <f t="shared" si="11"/>
        <v>59.236452</v>
      </c>
      <c r="Z20" s="181">
        <f t="shared" si="12"/>
        <v>0</v>
      </c>
      <c r="AA20" s="181">
        <f t="shared" si="13"/>
        <v>7.00812</v>
      </c>
      <c r="AB20" s="181">
        <f t="shared" si="14"/>
        <v>32.465832</v>
      </c>
      <c r="AC20" s="181">
        <f t="shared" si="15"/>
        <v>15.361500000000001</v>
      </c>
      <c r="AD20" s="181">
        <f>'[1]Dang ky kenh 2014'!$H$13</f>
        <v>4.401</v>
      </c>
      <c r="AE20" s="183">
        <f t="shared" si="6"/>
        <v>541.9</v>
      </c>
      <c r="AF20" s="196"/>
      <c r="AG20" s="169"/>
      <c r="AH20" s="169"/>
      <c r="AI20" s="169"/>
      <c r="AJ20" s="169"/>
      <c r="AK20" s="169"/>
      <c r="AL20" s="169"/>
      <c r="AM20" s="169"/>
      <c r="AN20" s="168"/>
      <c r="AO20" s="168"/>
      <c r="AP20" s="169"/>
      <c r="AQ20" s="169"/>
      <c r="AR20" s="169"/>
      <c r="AS20" s="169"/>
      <c r="AT20" s="169"/>
      <c r="AU20" s="169"/>
      <c r="AV20" s="169"/>
      <c r="AW20" s="169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86"/>
      <c r="BV20" s="186"/>
      <c r="BW20" s="186"/>
      <c r="BX20" s="186"/>
      <c r="BY20" s="186"/>
      <c r="BZ20" s="186"/>
    </row>
    <row r="21" spans="1:78" s="125" customFormat="1" ht="15.75" customHeight="1">
      <c r="A21" s="172">
        <v>16</v>
      </c>
      <c r="B21" s="173" t="s">
        <v>179</v>
      </c>
      <c r="C21" s="174">
        <f t="shared" si="7"/>
        <v>3</v>
      </c>
      <c r="D21" s="198"/>
      <c r="E21" s="198"/>
      <c r="F21" s="198">
        <v>3</v>
      </c>
      <c r="G21" s="198"/>
      <c r="H21" s="198"/>
      <c r="I21" s="177">
        <f t="shared" si="8"/>
        <v>335.15999999999997</v>
      </c>
      <c r="J21" s="530">
        <f t="shared" si="0"/>
        <v>2.5</v>
      </c>
      <c r="K21" s="178">
        <f t="shared" si="1"/>
        <v>2.5</v>
      </c>
      <c r="L21" s="179"/>
      <c r="M21" s="612"/>
      <c r="N21" s="612">
        <v>2.5</v>
      </c>
      <c r="O21" s="612"/>
      <c r="P21" s="179"/>
      <c r="Q21" s="615">
        <v>335</v>
      </c>
      <c r="R21" s="180">
        <f t="shared" si="9"/>
        <v>102.33899999999998</v>
      </c>
      <c r="S21" s="181">
        <f t="shared" si="2"/>
        <v>0</v>
      </c>
      <c r="T21" s="181">
        <f t="shared" si="3"/>
        <v>0</v>
      </c>
      <c r="U21" s="181">
        <f t="shared" si="4"/>
        <v>100.54799999999999</v>
      </c>
      <c r="V21" s="181">
        <f t="shared" si="5"/>
        <v>0</v>
      </c>
      <c r="W21" s="181">
        <f>'[1]Dang ky kenh 2014'!$G$29</f>
        <v>1.7910000000000001</v>
      </c>
      <c r="X21" s="182">
        <f t="shared" si="10"/>
        <v>34.1</v>
      </c>
      <c r="Y21" s="182">
        <f t="shared" si="11"/>
        <v>34.113</v>
      </c>
      <c r="Z21" s="181">
        <f t="shared" si="12"/>
        <v>0</v>
      </c>
      <c r="AA21" s="181">
        <f t="shared" si="13"/>
        <v>0</v>
      </c>
      <c r="AB21" s="181">
        <f t="shared" si="14"/>
        <v>33.516</v>
      </c>
      <c r="AC21" s="181">
        <f t="shared" si="15"/>
        <v>0</v>
      </c>
      <c r="AD21" s="181">
        <f>'[1]Dang ky kenh 2014'!$H$29</f>
        <v>0.5970000000000001</v>
      </c>
      <c r="AE21" s="183">
        <f t="shared" si="6"/>
        <v>371.6</v>
      </c>
      <c r="AF21" s="184"/>
      <c r="AG21" s="185"/>
      <c r="AH21" s="185"/>
      <c r="AI21" s="185"/>
      <c r="AJ21" s="185"/>
      <c r="AK21" s="185"/>
      <c r="AL21" s="185"/>
      <c r="AM21" s="169"/>
      <c r="AN21" s="168"/>
      <c r="AO21" s="168"/>
      <c r="AP21" s="185"/>
      <c r="AQ21" s="185"/>
      <c r="AR21" s="185"/>
      <c r="AS21" s="185"/>
      <c r="AT21" s="185"/>
      <c r="AU21" s="185"/>
      <c r="AV21" s="185"/>
      <c r="AW21" s="185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6"/>
      <c r="BV21" s="186"/>
      <c r="BW21" s="186"/>
      <c r="BX21" s="186"/>
      <c r="BY21" s="186"/>
      <c r="BZ21" s="186"/>
    </row>
    <row r="22" spans="1:78" s="125" customFormat="1" ht="15.75" customHeight="1">
      <c r="A22" s="172">
        <v>17</v>
      </c>
      <c r="B22" s="173" t="s">
        <v>180</v>
      </c>
      <c r="C22" s="174">
        <f t="shared" si="7"/>
        <v>5.5920000000000005</v>
      </c>
      <c r="D22" s="198"/>
      <c r="E22" s="198"/>
      <c r="F22" s="198">
        <f>5.642-0.05</f>
        <v>5.5920000000000005</v>
      </c>
      <c r="G22" s="198"/>
      <c r="H22" s="198"/>
      <c r="I22" s="177">
        <f t="shared" si="8"/>
        <v>624.73824</v>
      </c>
      <c r="J22" s="530">
        <f t="shared" si="0"/>
        <v>1.5</v>
      </c>
      <c r="K22" s="178">
        <f t="shared" si="1"/>
        <v>1.5</v>
      </c>
      <c r="L22" s="179"/>
      <c r="M22" s="612"/>
      <c r="N22" s="612">
        <v>1.5</v>
      </c>
      <c r="O22" s="612"/>
      <c r="P22" s="179"/>
      <c r="Q22" s="615">
        <v>205</v>
      </c>
      <c r="R22" s="180">
        <f t="shared" si="9"/>
        <v>190.107972</v>
      </c>
      <c r="S22" s="181">
        <f t="shared" si="2"/>
        <v>0</v>
      </c>
      <c r="T22" s="181">
        <f t="shared" si="3"/>
        <v>0</v>
      </c>
      <c r="U22" s="181">
        <f t="shared" si="4"/>
        <v>187.421472</v>
      </c>
      <c r="V22" s="181">
        <f t="shared" si="5"/>
        <v>0</v>
      </c>
      <c r="W22" s="181">
        <f>'[1]Dang ky kenh 2014'!$G$30</f>
        <v>2.6865</v>
      </c>
      <c r="X22" s="182">
        <f t="shared" si="10"/>
        <v>63.4</v>
      </c>
      <c r="Y22" s="182">
        <f t="shared" si="11"/>
        <v>63.369324000000006</v>
      </c>
      <c r="Z22" s="181">
        <f t="shared" si="12"/>
        <v>0</v>
      </c>
      <c r="AA22" s="181">
        <f t="shared" si="13"/>
        <v>0</v>
      </c>
      <c r="AB22" s="181">
        <f t="shared" si="14"/>
        <v>62.47382400000001</v>
      </c>
      <c r="AC22" s="181">
        <f t="shared" si="15"/>
        <v>0</v>
      </c>
      <c r="AD22" s="181">
        <f>'[1]Dang ky kenh 2014'!$H$30</f>
        <v>0.8955000000000001</v>
      </c>
      <c r="AE22" s="183">
        <f t="shared" si="6"/>
        <v>269.9</v>
      </c>
      <c r="AF22" s="184"/>
      <c r="AG22" s="185"/>
      <c r="AH22" s="185"/>
      <c r="AI22" s="185"/>
      <c r="AJ22" s="185"/>
      <c r="AK22" s="185"/>
      <c r="AL22" s="185"/>
      <c r="AM22" s="169"/>
      <c r="AN22" s="168"/>
      <c r="AO22" s="168"/>
      <c r="AP22" s="185"/>
      <c r="AQ22" s="185"/>
      <c r="AR22" s="185"/>
      <c r="AS22" s="185"/>
      <c r="AT22" s="185"/>
      <c r="AU22" s="185"/>
      <c r="AV22" s="185"/>
      <c r="AW22" s="185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6"/>
      <c r="BV22" s="186"/>
      <c r="BW22" s="186"/>
      <c r="BX22" s="186"/>
      <c r="BY22" s="186"/>
      <c r="BZ22" s="186"/>
    </row>
    <row r="23" spans="1:78" s="125" customFormat="1" ht="15.75" customHeight="1">
      <c r="A23" s="172">
        <v>18</v>
      </c>
      <c r="B23" s="173" t="s">
        <v>181</v>
      </c>
      <c r="C23" s="174">
        <f t="shared" si="7"/>
        <v>3.0599999999999996</v>
      </c>
      <c r="D23" s="197"/>
      <c r="E23" s="197">
        <v>0.72</v>
      </c>
      <c r="F23" s="197">
        <v>2.34</v>
      </c>
      <c r="G23" s="197"/>
      <c r="H23" s="197"/>
      <c r="I23" s="177">
        <f t="shared" si="8"/>
        <v>386.0136</v>
      </c>
      <c r="J23" s="530">
        <f t="shared" si="0"/>
        <v>0.76</v>
      </c>
      <c r="K23" s="178">
        <f t="shared" si="1"/>
        <v>0.76</v>
      </c>
      <c r="L23" s="179"/>
      <c r="M23" s="612">
        <v>0.34</v>
      </c>
      <c r="N23" s="612">
        <v>0.42</v>
      </c>
      <c r="O23" s="612"/>
      <c r="P23" s="179"/>
      <c r="Q23" s="615">
        <v>205</v>
      </c>
      <c r="R23" s="180">
        <f t="shared" si="9"/>
        <v>97.11576</v>
      </c>
      <c r="S23" s="181">
        <f t="shared" si="2"/>
        <v>0</v>
      </c>
      <c r="T23" s="181">
        <f t="shared" si="3"/>
        <v>18.688319999999997</v>
      </c>
      <c r="U23" s="181">
        <f t="shared" si="4"/>
        <v>78.42744</v>
      </c>
      <c r="V23" s="181">
        <f t="shared" si="5"/>
        <v>0</v>
      </c>
      <c r="W23" s="181">
        <v>0</v>
      </c>
      <c r="X23" s="182">
        <f t="shared" si="10"/>
        <v>32.4</v>
      </c>
      <c r="Y23" s="182">
        <f t="shared" si="11"/>
        <v>32.37192</v>
      </c>
      <c r="Z23" s="181">
        <f t="shared" si="12"/>
        <v>0</v>
      </c>
      <c r="AA23" s="181">
        <f t="shared" si="13"/>
        <v>6.22944</v>
      </c>
      <c r="AB23" s="181">
        <f t="shared" si="14"/>
        <v>26.142480000000003</v>
      </c>
      <c r="AC23" s="181">
        <f t="shared" si="15"/>
        <v>0</v>
      </c>
      <c r="AD23" s="181">
        <v>0</v>
      </c>
      <c r="AE23" s="183">
        <f t="shared" si="6"/>
        <v>238.16</v>
      </c>
      <c r="AF23" s="184"/>
      <c r="AG23" s="184"/>
      <c r="AH23" s="184"/>
      <c r="AI23" s="184"/>
      <c r="AJ23" s="184"/>
      <c r="AK23" s="184"/>
      <c r="AL23" s="184"/>
      <c r="AM23" s="169"/>
      <c r="AN23" s="168"/>
      <c r="AO23" s="168"/>
      <c r="AP23" s="184"/>
      <c r="AQ23" s="184"/>
      <c r="AR23" s="184"/>
      <c r="AS23" s="184"/>
      <c r="AT23" s="184"/>
      <c r="AU23" s="184"/>
      <c r="AV23" s="184"/>
      <c r="AW23" s="184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6"/>
      <c r="BV23" s="186"/>
      <c r="BW23" s="186"/>
      <c r="BX23" s="186"/>
      <c r="BY23" s="186"/>
      <c r="BZ23" s="186"/>
    </row>
    <row r="24" spans="1:78" s="125" customFormat="1" ht="15.75" customHeight="1">
      <c r="A24" s="172">
        <v>19</v>
      </c>
      <c r="B24" s="173" t="s">
        <v>182</v>
      </c>
      <c r="C24" s="174">
        <f t="shared" si="7"/>
        <v>6.175</v>
      </c>
      <c r="D24" s="197"/>
      <c r="E24" s="197">
        <v>0.35</v>
      </c>
      <c r="F24" s="197">
        <f>5.625</f>
        <v>5.625</v>
      </c>
      <c r="G24" s="197">
        <v>0.2</v>
      </c>
      <c r="H24" s="197"/>
      <c r="I24" s="177">
        <f t="shared" si="8"/>
        <v>711.333</v>
      </c>
      <c r="J24" s="530">
        <f t="shared" si="0"/>
        <v>3.8</v>
      </c>
      <c r="K24" s="178">
        <f t="shared" si="1"/>
        <v>3.8</v>
      </c>
      <c r="L24" s="179"/>
      <c r="M24" s="612">
        <v>0.3</v>
      </c>
      <c r="N24" s="612">
        <v>3.5</v>
      </c>
      <c r="O24" s="612"/>
      <c r="P24" s="179"/>
      <c r="Q24" s="615">
        <v>471</v>
      </c>
      <c r="R24" s="180">
        <f t="shared" si="9"/>
        <v>200.96369999999996</v>
      </c>
      <c r="S24" s="181">
        <f t="shared" si="2"/>
        <v>0</v>
      </c>
      <c r="T24" s="181">
        <f t="shared" si="3"/>
        <v>9.084599999999998</v>
      </c>
      <c r="U24" s="181">
        <f t="shared" si="4"/>
        <v>188.52749999999997</v>
      </c>
      <c r="V24" s="181">
        <f t="shared" si="5"/>
        <v>3.3516</v>
      </c>
      <c r="W24" s="181">
        <v>0</v>
      </c>
      <c r="X24" s="182">
        <f t="shared" si="10"/>
        <v>67</v>
      </c>
      <c r="Y24" s="182">
        <f t="shared" si="11"/>
        <v>66.9879</v>
      </c>
      <c r="Z24" s="181">
        <f t="shared" si="12"/>
        <v>0</v>
      </c>
      <c r="AA24" s="181">
        <f t="shared" si="13"/>
        <v>3.0282</v>
      </c>
      <c r="AB24" s="181">
        <f t="shared" si="14"/>
        <v>62.8425</v>
      </c>
      <c r="AC24" s="181">
        <f t="shared" si="15"/>
        <v>1.1172000000000002</v>
      </c>
      <c r="AD24" s="181">
        <v>0</v>
      </c>
      <c r="AE24" s="183">
        <f t="shared" si="6"/>
        <v>541.8</v>
      </c>
      <c r="AF24" s="184"/>
      <c r="AG24" s="185"/>
      <c r="AH24" s="185"/>
      <c r="AI24" s="185"/>
      <c r="AJ24" s="185"/>
      <c r="AK24" s="185"/>
      <c r="AL24" s="185"/>
      <c r="AM24" s="169"/>
      <c r="AN24" s="168"/>
      <c r="AO24" s="168"/>
      <c r="AP24" s="185"/>
      <c r="AQ24" s="185"/>
      <c r="AR24" s="185"/>
      <c r="AS24" s="185"/>
      <c r="AT24" s="185"/>
      <c r="AU24" s="185"/>
      <c r="AV24" s="185"/>
      <c r="AW24" s="185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6"/>
      <c r="BV24" s="186"/>
      <c r="BW24" s="186"/>
      <c r="BX24" s="186"/>
      <c r="BY24" s="186"/>
      <c r="BZ24" s="186"/>
    </row>
    <row r="25" spans="1:78" s="125" customFormat="1" ht="15.75" customHeight="1">
      <c r="A25" s="172">
        <v>20</v>
      </c>
      <c r="B25" s="173" t="s">
        <v>183</v>
      </c>
      <c r="C25" s="174">
        <f t="shared" si="7"/>
        <v>2</v>
      </c>
      <c r="D25" s="199"/>
      <c r="E25" s="197">
        <v>1</v>
      </c>
      <c r="F25" s="197">
        <v>1</v>
      </c>
      <c r="G25" s="197"/>
      <c r="H25" s="197"/>
      <c r="I25" s="177">
        <f t="shared" si="8"/>
        <v>284.76</v>
      </c>
      <c r="J25" s="530">
        <f t="shared" si="0"/>
        <v>1.6</v>
      </c>
      <c r="K25" s="178">
        <f t="shared" si="1"/>
        <v>1.6</v>
      </c>
      <c r="L25" s="179"/>
      <c r="M25" s="612">
        <v>0.8</v>
      </c>
      <c r="N25" s="612">
        <v>0.8</v>
      </c>
      <c r="O25" s="612"/>
      <c r="P25" s="179"/>
      <c r="Q25" s="615">
        <v>255</v>
      </c>
      <c r="R25" s="180">
        <f t="shared" si="9"/>
        <v>59.471999999999994</v>
      </c>
      <c r="S25" s="181">
        <f t="shared" si="2"/>
        <v>0</v>
      </c>
      <c r="T25" s="181">
        <f t="shared" si="3"/>
        <v>25.956</v>
      </c>
      <c r="U25" s="181">
        <f t="shared" si="4"/>
        <v>33.516</v>
      </c>
      <c r="V25" s="181">
        <f t="shared" si="5"/>
        <v>0</v>
      </c>
      <c r="W25" s="181">
        <v>0</v>
      </c>
      <c r="X25" s="182">
        <f t="shared" si="10"/>
        <v>19.8</v>
      </c>
      <c r="Y25" s="182">
        <f t="shared" si="11"/>
        <v>19.823999999999998</v>
      </c>
      <c r="Z25" s="181">
        <f t="shared" si="12"/>
        <v>0</v>
      </c>
      <c r="AA25" s="181">
        <f t="shared" si="13"/>
        <v>8.652</v>
      </c>
      <c r="AB25" s="181">
        <f t="shared" si="14"/>
        <v>11.172</v>
      </c>
      <c r="AC25" s="181">
        <f t="shared" si="15"/>
        <v>0</v>
      </c>
      <c r="AD25" s="181">
        <v>0</v>
      </c>
      <c r="AE25" s="183">
        <f t="shared" si="6"/>
        <v>276.40000000000003</v>
      </c>
      <c r="AF25" s="188">
        <f>Q25+16</f>
        <v>271</v>
      </c>
      <c r="AG25" s="188"/>
      <c r="AH25" s="188"/>
      <c r="AI25" s="188"/>
      <c r="AJ25" s="188"/>
      <c r="AK25" s="188"/>
      <c r="AL25" s="188"/>
      <c r="AM25" s="169"/>
      <c r="AN25" s="168"/>
      <c r="AO25" s="168"/>
      <c r="AP25" s="188"/>
      <c r="AQ25" s="188"/>
      <c r="AR25" s="188"/>
      <c r="AS25" s="188"/>
      <c r="AT25" s="188"/>
      <c r="AU25" s="188"/>
      <c r="AV25" s="188"/>
      <c r="AW25" s="188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6"/>
      <c r="BV25" s="186"/>
      <c r="BW25" s="186"/>
      <c r="BX25" s="186"/>
      <c r="BY25" s="186"/>
      <c r="BZ25" s="186"/>
    </row>
    <row r="26" spans="1:78" s="125" customFormat="1" ht="15.75" customHeight="1">
      <c r="A26" s="172">
        <v>21</v>
      </c>
      <c r="B26" s="173" t="s">
        <v>184</v>
      </c>
      <c r="C26" s="174">
        <f t="shared" si="7"/>
        <v>4</v>
      </c>
      <c r="D26" s="200"/>
      <c r="E26" s="200">
        <v>3</v>
      </c>
      <c r="F26" s="200">
        <v>1</v>
      </c>
      <c r="G26" s="200"/>
      <c r="H26" s="200"/>
      <c r="I26" s="177">
        <f t="shared" si="8"/>
        <v>630.84</v>
      </c>
      <c r="J26" s="530">
        <f t="shared" si="0"/>
        <v>1.5750000000000002</v>
      </c>
      <c r="K26" s="178">
        <f t="shared" si="1"/>
        <v>1.5750000000000002</v>
      </c>
      <c r="L26" s="179"/>
      <c r="M26" s="612">
        <v>1.34</v>
      </c>
      <c r="N26" s="613">
        <v>0.235</v>
      </c>
      <c r="O26" s="612"/>
      <c r="P26" s="179"/>
      <c r="Q26" s="615">
        <v>310</v>
      </c>
      <c r="R26" s="201">
        <f t="shared" si="9"/>
        <v>120.87899999999999</v>
      </c>
      <c r="S26" s="202">
        <f t="shared" si="2"/>
        <v>0</v>
      </c>
      <c r="T26" s="202">
        <f t="shared" si="3"/>
        <v>77.868</v>
      </c>
      <c r="U26" s="202">
        <f t="shared" si="4"/>
        <v>33.516</v>
      </c>
      <c r="V26" s="202">
        <f t="shared" si="5"/>
        <v>0</v>
      </c>
      <c r="W26" s="202">
        <f>'[1]Dang ky kenh 2014'!$G$8</f>
        <v>9.495</v>
      </c>
      <c r="X26" s="203">
        <f t="shared" si="10"/>
        <v>40.3</v>
      </c>
      <c r="Y26" s="203">
        <f t="shared" si="11"/>
        <v>40.293</v>
      </c>
      <c r="Z26" s="202">
        <f t="shared" si="12"/>
        <v>0</v>
      </c>
      <c r="AA26" s="202">
        <f t="shared" si="13"/>
        <v>25.956000000000003</v>
      </c>
      <c r="AB26" s="202">
        <f t="shared" si="14"/>
        <v>11.172</v>
      </c>
      <c r="AC26" s="202">
        <f t="shared" si="15"/>
        <v>0</v>
      </c>
      <c r="AD26" s="202">
        <f>'[1]Dang ky kenh 2014'!$H$8</f>
        <v>3.165</v>
      </c>
      <c r="AE26" s="204">
        <f t="shared" si="6"/>
        <v>351.875</v>
      </c>
      <c r="AF26" s="184">
        <f>Q26+17</f>
        <v>327</v>
      </c>
      <c r="AG26" s="185"/>
      <c r="AH26" s="185"/>
      <c r="AI26" s="185"/>
      <c r="AJ26" s="185"/>
      <c r="AK26" s="185"/>
      <c r="AL26" s="185"/>
      <c r="AM26" s="169"/>
      <c r="AN26" s="168"/>
      <c r="AO26" s="168"/>
      <c r="AP26" s="185"/>
      <c r="AQ26" s="185"/>
      <c r="AR26" s="185"/>
      <c r="AS26" s="185"/>
      <c r="AT26" s="185"/>
      <c r="AU26" s="185"/>
      <c r="AV26" s="185"/>
      <c r="AW26" s="185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6"/>
      <c r="BV26" s="186"/>
      <c r="BW26" s="186"/>
      <c r="BX26" s="186"/>
      <c r="BY26" s="186"/>
      <c r="BZ26" s="186"/>
    </row>
    <row r="27" spans="1:78" s="219" customFormat="1" ht="15.75" customHeight="1">
      <c r="A27" s="205"/>
      <c r="B27" s="206" t="s">
        <v>185</v>
      </c>
      <c r="C27" s="207">
        <f t="shared" si="7"/>
        <v>115.46699999999998</v>
      </c>
      <c r="D27" s="208">
        <f aca="true" t="shared" si="16" ref="D27:I27">SUM(D6:D26)</f>
        <v>1</v>
      </c>
      <c r="E27" s="208">
        <f t="shared" si="16"/>
        <v>19.573</v>
      </c>
      <c r="F27" s="208">
        <f t="shared" si="16"/>
        <v>83.484</v>
      </c>
      <c r="G27" s="208">
        <f t="shared" si="16"/>
        <v>9.009999999999998</v>
      </c>
      <c r="H27" s="208">
        <f t="shared" si="16"/>
        <v>2.4</v>
      </c>
      <c r="I27" s="209">
        <f t="shared" si="16"/>
        <v>14221.443600000002</v>
      </c>
      <c r="J27" s="210">
        <f>SUM(J6:J26)</f>
        <v>51.254</v>
      </c>
      <c r="K27" s="211">
        <f t="shared" si="1"/>
        <v>51.254000000000005</v>
      </c>
      <c r="L27" s="208">
        <f aca="true" t="shared" si="17" ref="L27:Q27">SUM(L6:L26)</f>
        <v>0</v>
      </c>
      <c r="M27" s="208">
        <f t="shared" si="17"/>
        <v>10.34</v>
      </c>
      <c r="N27" s="212">
        <f t="shared" si="17"/>
        <v>38.914</v>
      </c>
      <c r="O27" s="212">
        <f t="shared" si="17"/>
        <v>2</v>
      </c>
      <c r="P27" s="212">
        <f t="shared" si="17"/>
        <v>0</v>
      </c>
      <c r="Q27" s="213">
        <f t="shared" si="17"/>
        <v>7518</v>
      </c>
      <c r="R27" s="214">
        <f aca="true" t="shared" si="18" ref="R27:AF27">SUM(R6:R26)</f>
        <v>3585.6456719999996</v>
      </c>
      <c r="S27" s="214">
        <f t="shared" si="18"/>
        <v>29.200499999999998</v>
      </c>
      <c r="T27" s="214">
        <f t="shared" si="18"/>
        <v>508.036788</v>
      </c>
      <c r="U27" s="214">
        <f t="shared" si="18"/>
        <v>2798.0497440000004</v>
      </c>
      <c r="V27" s="214">
        <f t="shared" si="18"/>
        <v>150.98958</v>
      </c>
      <c r="W27" s="214">
        <f t="shared" si="18"/>
        <v>99.36905999999999</v>
      </c>
      <c r="X27" s="214">
        <f t="shared" si="18"/>
        <v>1195.1000000000001</v>
      </c>
      <c r="Y27" s="214">
        <f t="shared" si="18"/>
        <v>1195.215224</v>
      </c>
      <c r="Z27" s="214">
        <f t="shared" si="18"/>
        <v>9.7335</v>
      </c>
      <c r="AA27" s="214">
        <f t="shared" si="18"/>
        <v>169.345596</v>
      </c>
      <c r="AB27" s="214">
        <f t="shared" si="18"/>
        <v>932.6832479999999</v>
      </c>
      <c r="AC27" s="214">
        <f t="shared" si="18"/>
        <v>50.32986</v>
      </c>
      <c r="AD27" s="214">
        <f t="shared" si="18"/>
        <v>33.123020000000004</v>
      </c>
      <c r="AE27" s="214">
        <f t="shared" si="18"/>
        <v>8764.354</v>
      </c>
      <c r="AF27" s="214">
        <f t="shared" si="18"/>
        <v>697</v>
      </c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6"/>
      <c r="AY27" s="216"/>
      <c r="AZ27" s="216"/>
      <c r="BA27" s="217"/>
      <c r="BB27" s="217"/>
      <c r="BC27" s="217"/>
      <c r="BD27" s="216"/>
      <c r="BE27" s="216"/>
      <c r="BF27" s="216"/>
      <c r="BG27" s="216"/>
      <c r="BH27" s="216"/>
      <c r="BI27" s="216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8"/>
      <c r="BW27" s="218"/>
      <c r="BX27" s="218"/>
      <c r="BY27" s="218"/>
      <c r="BZ27" s="218"/>
    </row>
    <row r="28" spans="1:78" s="219" customFormat="1" ht="15.75" customHeight="1">
      <c r="A28" s="726"/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220"/>
      <c r="AS28" s="221"/>
      <c r="AT28" s="221"/>
      <c r="AU28" s="221"/>
      <c r="AV28" s="221"/>
      <c r="AW28" s="221"/>
      <c r="BA28" s="222"/>
      <c r="BB28" s="222"/>
      <c r="BC28" s="222"/>
      <c r="BG28" s="222"/>
      <c r="BH28" s="222"/>
      <c r="BI28" s="222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</row>
    <row r="29" spans="1:78" s="219" customFormat="1" ht="16.5" customHeight="1">
      <c r="A29" s="223" t="s">
        <v>186</v>
      </c>
      <c r="B29" s="224"/>
      <c r="C29" s="224"/>
      <c r="D29" s="224"/>
      <c r="E29" s="224"/>
      <c r="J29" s="727">
        <f>+L27+M27+N27+O27+P27</f>
        <v>51.254000000000005</v>
      </c>
      <c r="K29" s="727"/>
      <c r="L29" s="727"/>
      <c r="M29" s="224"/>
      <c r="N29" s="224"/>
      <c r="O29" s="224"/>
      <c r="P29" s="224"/>
      <c r="Q29" s="224"/>
      <c r="R29" s="224"/>
      <c r="S29" s="224"/>
      <c r="T29" s="224"/>
      <c r="U29" s="224"/>
      <c r="Z29" s="727" t="s">
        <v>187</v>
      </c>
      <c r="AA29" s="727"/>
      <c r="AB29" s="727"/>
      <c r="AC29" s="727"/>
      <c r="AD29" s="727"/>
      <c r="AS29" s="221"/>
      <c r="AT29" s="221"/>
      <c r="AU29" s="221"/>
      <c r="AV29" s="221"/>
      <c r="AW29" s="221"/>
      <c r="AX29" s="225"/>
      <c r="AY29" s="225"/>
      <c r="AZ29" s="225"/>
      <c r="BA29" s="226"/>
      <c r="BB29" s="226"/>
      <c r="BC29" s="226"/>
      <c r="BD29" s="225"/>
      <c r="BE29" s="225"/>
      <c r="BF29" s="225"/>
      <c r="BG29" s="226"/>
      <c r="BH29" s="226"/>
      <c r="BI29" s="226"/>
      <c r="BP29" s="221"/>
      <c r="BQ29" s="221"/>
      <c r="BR29" s="221"/>
      <c r="BS29" s="221"/>
      <c r="BT29" s="221"/>
      <c r="BU29" s="225"/>
      <c r="BV29" s="225"/>
      <c r="BW29" s="225"/>
      <c r="BX29" s="225"/>
      <c r="BY29" s="225"/>
      <c r="BZ29" s="225"/>
    </row>
    <row r="30" spans="2:61" ht="13.5" customHeight="1">
      <c r="B30" s="727"/>
      <c r="C30" s="727"/>
      <c r="D30" s="727"/>
      <c r="E30" s="727"/>
      <c r="F30" s="219"/>
      <c r="G30" s="219"/>
      <c r="H30" s="219"/>
      <c r="I30" s="219"/>
      <c r="J30" s="727"/>
      <c r="K30" s="727"/>
      <c r="L30" s="727"/>
      <c r="M30" s="224"/>
      <c r="N30" s="224"/>
      <c r="O30" s="224"/>
      <c r="P30" s="727"/>
      <c r="Q30" s="727"/>
      <c r="R30" s="727"/>
      <c r="S30" s="727"/>
      <c r="T30" s="727"/>
      <c r="U30" s="224"/>
      <c r="V30" s="219"/>
      <c r="W30" s="219"/>
      <c r="X30" s="219"/>
      <c r="Y30" s="219"/>
      <c r="Z30" s="727" t="s">
        <v>188</v>
      </c>
      <c r="AA30" s="727"/>
      <c r="AB30" s="727"/>
      <c r="AC30" s="727"/>
      <c r="AD30" s="727"/>
      <c r="AX30" s="122"/>
      <c r="AY30" s="122"/>
      <c r="AZ30" s="122"/>
      <c r="BA30" s="227"/>
      <c r="BB30" s="227"/>
      <c r="BC30" s="227"/>
      <c r="BD30" s="122"/>
      <c r="BE30" s="122"/>
      <c r="BF30" s="122"/>
      <c r="BG30" s="227"/>
      <c r="BH30" s="227"/>
      <c r="BI30" s="227"/>
    </row>
    <row r="31" spans="1:61" ht="15.75">
      <c r="A31" s="219"/>
      <c r="B31" s="224"/>
      <c r="C31" s="224"/>
      <c r="D31" s="224"/>
      <c r="E31" s="224"/>
      <c r="F31" s="219"/>
      <c r="G31" s="219"/>
      <c r="H31" s="219"/>
      <c r="I31" s="219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19"/>
      <c r="W31" s="219"/>
      <c r="X31" s="219"/>
      <c r="Y31" s="219"/>
      <c r="Z31" s="727" t="s">
        <v>189</v>
      </c>
      <c r="AA31" s="727"/>
      <c r="AB31" s="727"/>
      <c r="AC31" s="727"/>
      <c r="AD31" s="727"/>
      <c r="AX31" s="219"/>
      <c r="AY31" s="219"/>
      <c r="AZ31" s="219"/>
      <c r="BA31" s="222"/>
      <c r="BB31" s="222"/>
      <c r="BC31" s="222"/>
      <c r="BD31" s="219"/>
      <c r="BE31" s="219"/>
      <c r="BF31" s="219"/>
      <c r="BG31" s="222"/>
      <c r="BH31" s="222"/>
      <c r="BI31" s="222"/>
    </row>
    <row r="32" spans="2:78" s="228" customFormat="1" ht="16.5">
      <c r="B32" s="224"/>
      <c r="C32" s="224"/>
      <c r="D32" s="224"/>
      <c r="E32" s="224"/>
      <c r="F32" s="219"/>
      <c r="G32" s="219"/>
      <c r="H32" s="219"/>
      <c r="I32" s="219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19"/>
      <c r="W32" s="219"/>
      <c r="X32" s="219"/>
      <c r="Y32" s="219"/>
      <c r="Z32" s="224"/>
      <c r="AA32" s="224"/>
      <c r="AB32" s="224"/>
      <c r="AC32" s="224"/>
      <c r="AD32" s="219"/>
      <c r="AS32" s="229"/>
      <c r="AT32" s="229"/>
      <c r="AU32" s="229"/>
      <c r="AV32" s="229"/>
      <c r="AW32" s="229"/>
      <c r="AX32" s="219"/>
      <c r="AY32" s="219"/>
      <c r="AZ32" s="219"/>
      <c r="BA32" s="222"/>
      <c r="BB32" s="222"/>
      <c r="BC32" s="222"/>
      <c r="BD32" s="219"/>
      <c r="BE32" s="219"/>
      <c r="BF32" s="219"/>
      <c r="BG32" s="222"/>
      <c r="BH32" s="222"/>
      <c r="BI32" s="222"/>
      <c r="BP32" s="229"/>
      <c r="BQ32" s="229"/>
      <c r="BR32" s="229"/>
      <c r="BS32" s="229"/>
      <c r="BT32" s="229"/>
      <c r="BU32" s="219"/>
      <c r="BV32" s="219"/>
      <c r="BW32" s="219"/>
      <c r="BX32" s="219"/>
      <c r="BY32" s="219"/>
      <c r="BZ32" s="219"/>
    </row>
    <row r="33" spans="2:61" ht="23.25" customHeight="1">
      <c r="B33" s="224"/>
      <c r="C33" s="224"/>
      <c r="D33" s="224"/>
      <c r="E33" s="224"/>
      <c r="F33" s="219"/>
      <c r="G33" s="219"/>
      <c r="H33" s="219"/>
      <c r="I33" s="219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19"/>
      <c r="W33" s="219"/>
      <c r="X33" s="219"/>
      <c r="Y33" s="219"/>
      <c r="Z33" s="224"/>
      <c r="AA33" s="224"/>
      <c r="AB33" s="224"/>
      <c r="AC33" s="224"/>
      <c r="AD33" s="225"/>
      <c r="AX33" s="228"/>
      <c r="AY33" s="230"/>
      <c r="AZ33" s="122"/>
      <c r="BA33" s="231"/>
      <c r="BB33" s="232"/>
      <c r="BC33" s="227"/>
      <c r="BD33" s="228"/>
      <c r="BE33" s="230"/>
      <c r="BF33" s="122"/>
      <c r="BG33" s="231"/>
      <c r="BH33" s="232"/>
      <c r="BI33" s="227"/>
    </row>
    <row r="34" spans="2:61" ht="27.75" customHeight="1">
      <c r="B34" s="727"/>
      <c r="C34" s="727"/>
      <c r="D34" s="727"/>
      <c r="E34" s="727"/>
      <c r="F34" s="219"/>
      <c r="G34" s="219"/>
      <c r="H34" s="219"/>
      <c r="I34" s="219"/>
      <c r="J34" s="233"/>
      <c r="K34" s="233"/>
      <c r="L34" s="233"/>
      <c r="M34" s="224"/>
      <c r="N34" s="224"/>
      <c r="O34" s="224"/>
      <c r="P34" s="727"/>
      <c r="Q34" s="727"/>
      <c r="R34" s="727"/>
      <c r="S34" s="727"/>
      <c r="T34" s="727"/>
      <c r="U34" s="224"/>
      <c r="V34" s="219"/>
      <c r="W34" s="219"/>
      <c r="X34" s="219"/>
      <c r="Y34" s="219"/>
      <c r="Z34" s="219"/>
      <c r="AA34" s="219"/>
      <c r="AB34" s="219"/>
      <c r="AC34" s="219"/>
      <c r="AD34" s="219"/>
      <c r="AX34" s="122"/>
      <c r="AY34" s="122"/>
      <c r="AZ34" s="122"/>
      <c r="BA34" s="227"/>
      <c r="BB34" s="227"/>
      <c r="BC34" s="227"/>
      <c r="BD34" s="122"/>
      <c r="BE34" s="122"/>
      <c r="BF34" s="122"/>
      <c r="BG34" s="227"/>
      <c r="BH34" s="227"/>
      <c r="BI34" s="227"/>
    </row>
    <row r="35" spans="1:78" ht="32.25" customHeight="1">
      <c r="A35" s="234"/>
      <c r="B35" s="235" t="s">
        <v>190</v>
      </c>
      <c r="C35" s="236"/>
      <c r="D35" s="236"/>
      <c r="E35" s="236"/>
      <c r="F35" s="228"/>
      <c r="G35" s="228"/>
      <c r="H35" s="228"/>
      <c r="I35" s="228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727" t="s">
        <v>191</v>
      </c>
      <c r="AA35" s="727"/>
      <c r="AB35" s="727"/>
      <c r="AC35" s="727"/>
      <c r="AD35" s="727"/>
      <c r="AX35" s="234"/>
      <c r="AY35" s="234"/>
      <c r="AZ35" s="234"/>
      <c r="BA35" s="237"/>
      <c r="BB35" s="237"/>
      <c r="BC35" s="237"/>
      <c r="BD35" s="234"/>
      <c r="BE35" s="234"/>
      <c r="BF35" s="234"/>
      <c r="BG35" s="237"/>
      <c r="BH35" s="237"/>
      <c r="BI35" s="237"/>
      <c r="BU35" s="125"/>
      <c r="BV35" s="125"/>
      <c r="BW35" s="125"/>
      <c r="BX35" s="125"/>
      <c r="BY35" s="125"/>
      <c r="BZ35" s="125"/>
    </row>
    <row r="36" spans="2:78" ht="15">
      <c r="B36" s="238"/>
      <c r="BU36" s="238"/>
      <c r="BV36" s="238"/>
      <c r="BW36" s="238"/>
      <c r="BX36" s="238"/>
      <c r="BY36" s="238"/>
      <c r="BZ36" s="238"/>
    </row>
    <row r="38" spans="2:78" s="219" customFormat="1" ht="15">
      <c r="B38" s="239"/>
      <c r="C38" s="124"/>
      <c r="D38" s="124"/>
      <c r="F38" s="124"/>
      <c r="G38" s="124"/>
      <c r="H38" s="124"/>
      <c r="I38" s="124"/>
      <c r="J38" s="124"/>
      <c r="K38" s="124"/>
      <c r="L38" s="124"/>
      <c r="M38" s="240"/>
      <c r="N38" s="124"/>
      <c r="O38" s="124"/>
      <c r="P38" s="124"/>
      <c r="Q38" s="124"/>
      <c r="R38" s="124"/>
      <c r="S38" s="124"/>
      <c r="T38" s="240"/>
      <c r="U38" s="124"/>
      <c r="V38" s="124"/>
      <c r="W38" s="124"/>
      <c r="X38" s="124"/>
      <c r="Y38" s="124"/>
      <c r="Z38" s="124"/>
      <c r="AA38" s="240"/>
      <c r="AB38" s="124"/>
      <c r="AC38" s="124"/>
      <c r="AD38" s="124"/>
      <c r="AS38" s="221"/>
      <c r="AT38" s="221"/>
      <c r="AU38" s="221"/>
      <c r="AV38" s="221"/>
      <c r="AW38" s="221"/>
      <c r="AX38" s="124"/>
      <c r="AY38" s="240"/>
      <c r="AZ38" s="124"/>
      <c r="BA38" s="241"/>
      <c r="BB38" s="242"/>
      <c r="BC38" s="241"/>
      <c r="BD38" s="124"/>
      <c r="BE38" s="240"/>
      <c r="BF38" s="124"/>
      <c r="BG38" s="241"/>
      <c r="BH38" s="242"/>
      <c r="BI38" s="241"/>
      <c r="BP38" s="221"/>
      <c r="BQ38" s="221"/>
      <c r="BR38" s="221"/>
      <c r="BS38" s="221"/>
      <c r="BT38" s="221"/>
      <c r="BU38" s="122"/>
      <c r="BV38" s="122"/>
      <c r="BW38" s="122"/>
      <c r="BX38" s="122"/>
      <c r="BY38" s="122"/>
      <c r="BZ38" s="122"/>
    </row>
    <row r="48" spans="2:4" ht="15">
      <c r="B48" s="243">
        <f>SUM(B49:B51)</f>
        <v>2.9899999999999998</v>
      </c>
      <c r="C48" s="122"/>
      <c r="D48" s="122"/>
    </row>
    <row r="49" ht="15">
      <c r="B49" s="243">
        <v>2.445</v>
      </c>
    </row>
    <row r="50" ht="15">
      <c r="B50" s="243">
        <v>0.545</v>
      </c>
    </row>
  </sheetData>
  <sheetProtection/>
  <mergeCells count="23">
    <mergeCell ref="Z30:AD30"/>
    <mergeCell ref="A4:A5"/>
    <mergeCell ref="B4:B5"/>
    <mergeCell ref="Z35:AD35"/>
    <mergeCell ref="C1:E1"/>
    <mergeCell ref="C2:E2"/>
    <mergeCell ref="L2:P2"/>
    <mergeCell ref="L1:P1"/>
    <mergeCell ref="T2:Z2"/>
    <mergeCell ref="C4:H4"/>
    <mergeCell ref="Z31:AD31"/>
    <mergeCell ref="B34:E34"/>
    <mergeCell ref="P34:T34"/>
    <mergeCell ref="AE4:AE5"/>
    <mergeCell ref="A28:AC28"/>
    <mergeCell ref="J29:L29"/>
    <mergeCell ref="Z29:AD29"/>
    <mergeCell ref="B30:E30"/>
    <mergeCell ref="J30:L30"/>
    <mergeCell ref="P30:T30"/>
    <mergeCell ref="I4:I5"/>
    <mergeCell ref="J4:P4"/>
    <mergeCell ref="Q4:Q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Z35"/>
  <sheetViews>
    <sheetView zoomScalePageLayoutView="0" workbookViewId="0" topLeftCell="A1">
      <selection activeCell="W34" sqref="W34"/>
    </sheetView>
  </sheetViews>
  <sheetFormatPr defaultColWidth="7.875" defaultRowHeight="15.75"/>
  <cols>
    <col min="1" max="1" width="5.50390625" style="244" customWidth="1"/>
    <col min="2" max="2" width="14.875" style="244" customWidth="1"/>
    <col min="3" max="3" width="9.125" style="244" customWidth="1"/>
    <col min="4" max="4" width="7.50390625" style="244" customWidth="1"/>
    <col min="5" max="5" width="8.75390625" style="244" customWidth="1"/>
    <col min="6" max="6" width="8.875" style="244" customWidth="1"/>
    <col min="7" max="7" width="7.50390625" style="244" customWidth="1"/>
    <col min="8" max="8" width="6.00390625" style="244" hidden="1" customWidth="1"/>
    <col min="9" max="9" width="6.75390625" style="244" hidden="1" customWidth="1"/>
    <col min="10" max="10" width="5.75390625" style="244" hidden="1" customWidth="1"/>
    <col min="11" max="11" width="6.125" style="244" hidden="1" customWidth="1"/>
    <col min="12" max="12" width="5.875" style="244" hidden="1" customWidth="1"/>
    <col min="13" max="13" width="5.75390625" style="244" hidden="1" customWidth="1"/>
    <col min="14" max="14" width="5.875" style="244" hidden="1" customWidth="1"/>
    <col min="15" max="15" width="6.375" style="244" hidden="1" customWidth="1"/>
    <col min="16" max="16" width="11.375" style="244" customWidth="1"/>
    <col min="17" max="21" width="7.125" style="283" customWidth="1"/>
    <col min="22" max="22" width="5.75390625" style="244" hidden="1" customWidth="1"/>
    <col min="23" max="23" width="7.50390625" style="244" customWidth="1"/>
    <col min="24" max="24" width="7.00390625" style="244" customWidth="1"/>
    <col min="25" max="25" width="9.625" style="244" bestFit="1" customWidth="1"/>
    <col min="26" max="26" width="0" style="244" hidden="1" customWidth="1"/>
    <col min="27" max="16384" width="7.875" style="244" customWidth="1"/>
  </cols>
  <sheetData>
    <row r="1" spans="1:24" ht="15.75">
      <c r="A1" s="742" t="s">
        <v>192</v>
      </c>
      <c r="B1" s="742"/>
      <c r="C1" s="742"/>
      <c r="D1" s="742"/>
      <c r="E1" s="742"/>
      <c r="G1" s="245"/>
      <c r="H1" s="245"/>
      <c r="I1" s="245"/>
      <c r="J1" s="245"/>
      <c r="K1" s="245"/>
      <c r="L1" s="245"/>
      <c r="M1" s="245"/>
      <c r="N1" s="245"/>
      <c r="O1" s="742" t="s">
        <v>1</v>
      </c>
      <c r="P1" s="742"/>
      <c r="Q1" s="742"/>
      <c r="R1" s="742"/>
      <c r="S1" s="742"/>
      <c r="T1" s="742"/>
      <c r="U1" s="742"/>
      <c r="V1" s="742"/>
      <c r="W1" s="742"/>
      <c r="X1" s="742"/>
    </row>
    <row r="2" spans="1:24" ht="15.75">
      <c r="A2" s="742" t="s">
        <v>193</v>
      </c>
      <c r="B2" s="742"/>
      <c r="C2" s="742"/>
      <c r="D2" s="742"/>
      <c r="E2" s="742"/>
      <c r="G2" s="245"/>
      <c r="H2" s="245"/>
      <c r="I2" s="245"/>
      <c r="J2" s="245"/>
      <c r="K2" s="245"/>
      <c r="L2" s="245"/>
      <c r="M2" s="245"/>
      <c r="N2" s="245"/>
      <c r="O2" s="742" t="s">
        <v>101</v>
      </c>
      <c r="P2" s="742"/>
      <c r="Q2" s="742"/>
      <c r="R2" s="742"/>
      <c r="S2" s="742"/>
      <c r="T2" s="742"/>
      <c r="U2" s="742"/>
      <c r="V2" s="742"/>
      <c r="W2" s="742"/>
      <c r="X2" s="742"/>
    </row>
    <row r="3" spans="17:21" ht="15">
      <c r="Q3" s="246"/>
      <c r="R3" s="246"/>
      <c r="S3" s="246"/>
      <c r="T3" s="246"/>
      <c r="U3" s="246"/>
    </row>
    <row r="4" spans="1:26" ht="27.75" customHeight="1">
      <c r="A4" s="743" t="s">
        <v>5</v>
      </c>
      <c r="B4" s="744" t="s">
        <v>194</v>
      </c>
      <c r="C4" s="744" t="s">
        <v>195</v>
      </c>
      <c r="D4" s="744"/>
      <c r="E4" s="744"/>
      <c r="F4" s="744"/>
      <c r="G4" s="744"/>
      <c r="H4" s="744"/>
      <c r="I4" s="743" t="s">
        <v>196</v>
      </c>
      <c r="J4" s="743"/>
      <c r="K4" s="743"/>
      <c r="L4" s="743"/>
      <c r="M4" s="743"/>
      <c r="N4" s="743"/>
      <c r="O4" s="743"/>
      <c r="P4" s="745" t="s">
        <v>197</v>
      </c>
      <c r="Q4" s="749" t="s">
        <v>462</v>
      </c>
      <c r="R4" s="749"/>
      <c r="S4" s="749"/>
      <c r="T4" s="749"/>
      <c r="U4" s="749"/>
      <c r="V4" s="749"/>
      <c r="W4" s="749"/>
      <c r="X4" s="750" t="s">
        <v>198</v>
      </c>
      <c r="Z4" s="750" t="s">
        <v>199</v>
      </c>
    </row>
    <row r="5" spans="1:26" ht="15">
      <c r="A5" s="743"/>
      <c r="B5" s="744"/>
      <c r="C5" s="744" t="s">
        <v>200</v>
      </c>
      <c r="D5" s="753" t="s">
        <v>201</v>
      </c>
      <c r="E5" s="754"/>
      <c r="F5" s="754"/>
      <c r="G5" s="754"/>
      <c r="H5" s="755"/>
      <c r="I5" s="744" t="s">
        <v>202</v>
      </c>
      <c r="J5" s="753" t="s">
        <v>201</v>
      </c>
      <c r="K5" s="754"/>
      <c r="L5" s="754"/>
      <c r="M5" s="754"/>
      <c r="N5" s="755"/>
      <c r="O5" s="756" t="s">
        <v>203</v>
      </c>
      <c r="P5" s="746"/>
      <c r="Q5" s="757" t="s">
        <v>200</v>
      </c>
      <c r="R5" s="739" t="s">
        <v>201</v>
      </c>
      <c r="S5" s="740"/>
      <c r="T5" s="740"/>
      <c r="U5" s="740"/>
      <c r="V5" s="741"/>
      <c r="W5" s="748" t="s">
        <v>204</v>
      </c>
      <c r="X5" s="751"/>
      <c r="Z5" s="751"/>
    </row>
    <row r="6" spans="1:26" ht="114.75">
      <c r="A6" s="743"/>
      <c r="B6" s="744"/>
      <c r="C6" s="744"/>
      <c r="D6" s="247" t="s">
        <v>12</v>
      </c>
      <c r="E6" s="247" t="s">
        <v>205</v>
      </c>
      <c r="F6" s="247" t="s">
        <v>206</v>
      </c>
      <c r="G6" s="247" t="s">
        <v>207</v>
      </c>
      <c r="H6" s="247" t="s">
        <v>208</v>
      </c>
      <c r="I6" s="744"/>
      <c r="J6" s="247" t="s">
        <v>12</v>
      </c>
      <c r="K6" s="247" t="s">
        <v>209</v>
      </c>
      <c r="L6" s="247" t="s">
        <v>210</v>
      </c>
      <c r="M6" s="247" t="s">
        <v>211</v>
      </c>
      <c r="N6" s="247" t="s">
        <v>212</v>
      </c>
      <c r="O6" s="756"/>
      <c r="P6" s="747"/>
      <c r="Q6" s="757"/>
      <c r="R6" s="440" t="s">
        <v>158</v>
      </c>
      <c r="S6" s="440" t="s">
        <v>213</v>
      </c>
      <c r="T6" s="440" t="s">
        <v>210</v>
      </c>
      <c r="U6" s="440" t="s">
        <v>211</v>
      </c>
      <c r="V6" s="439" t="s">
        <v>214</v>
      </c>
      <c r="W6" s="748"/>
      <c r="X6" s="752"/>
      <c r="Z6" s="752"/>
    </row>
    <row r="7" spans="1:26" ht="15">
      <c r="A7" s="248">
        <v>1</v>
      </c>
      <c r="B7" s="249" t="s">
        <v>215</v>
      </c>
      <c r="C7" s="250">
        <f>D7+E7+F7+G7</f>
        <v>7.1</v>
      </c>
      <c r="D7" s="250">
        <v>1</v>
      </c>
      <c r="E7" s="250">
        <v>3.135</v>
      </c>
      <c r="F7" s="250">
        <v>2.965</v>
      </c>
      <c r="G7" s="250"/>
      <c r="H7" s="251"/>
      <c r="I7" s="252">
        <f aca="true" t="shared" si="0" ref="I7:I30">K7+L7+M7</f>
        <v>0</v>
      </c>
      <c r="J7" s="252"/>
      <c r="K7" s="251"/>
      <c r="L7" s="251"/>
      <c r="M7" s="251"/>
      <c r="N7" s="251"/>
      <c r="O7" s="253">
        <f aca="true" t="shared" si="1" ref="O7:O23">K7*182+L7*117</f>
        <v>0</v>
      </c>
      <c r="P7" s="253">
        <f>+D7*194.67+E7*173.04+(F7+G7)*111.72</f>
        <v>1068.4001999999998</v>
      </c>
      <c r="Q7" s="590">
        <f>R7+S7+T7+U7</f>
        <v>0</v>
      </c>
      <c r="R7" s="590"/>
      <c r="S7" s="590"/>
      <c r="T7" s="590"/>
      <c r="U7" s="591"/>
      <c r="V7" s="254"/>
      <c r="W7" s="533"/>
      <c r="X7" s="532">
        <f>+Q7/C7</f>
        <v>0</v>
      </c>
      <c r="Z7" s="255"/>
    </row>
    <row r="8" spans="1:26" ht="15">
      <c r="A8" s="256">
        <v>2</v>
      </c>
      <c r="B8" s="257" t="s">
        <v>216</v>
      </c>
      <c r="C8" s="258">
        <f>+D8+E8+F8+G8</f>
        <v>6.307</v>
      </c>
      <c r="D8" s="258">
        <v>0.215</v>
      </c>
      <c r="E8" s="258">
        <v>0.45</v>
      </c>
      <c r="F8" s="258">
        <v>2.872</v>
      </c>
      <c r="G8" s="258">
        <v>2.77</v>
      </c>
      <c r="H8" s="259"/>
      <c r="I8" s="260">
        <f t="shared" si="0"/>
        <v>0</v>
      </c>
      <c r="J8" s="260"/>
      <c r="K8" s="259"/>
      <c r="L8" s="259"/>
      <c r="M8" s="259"/>
      <c r="N8" s="259"/>
      <c r="O8" s="261">
        <f t="shared" si="1"/>
        <v>0</v>
      </c>
      <c r="P8" s="261">
        <f aca="true" t="shared" si="2" ref="P8:P33">+D8*194.67+E8*173.04+(F8+G8)*111.72</f>
        <v>750.0462899999999</v>
      </c>
      <c r="Q8" s="592">
        <f aca="true" t="shared" si="3" ref="Q8:Q33">R8+S8+T8+U8</f>
        <v>0.722</v>
      </c>
      <c r="R8" s="593"/>
      <c r="S8" s="592"/>
      <c r="T8" s="592">
        <v>0.722</v>
      </c>
      <c r="U8" s="594"/>
      <c r="V8" s="262"/>
      <c r="W8" s="595">
        <v>165</v>
      </c>
      <c r="X8" s="532">
        <f aca="true" t="shared" si="4" ref="X8:X33">+Q8/C8</f>
        <v>0.11447597907087362</v>
      </c>
      <c r="Z8" s="255"/>
    </row>
    <row r="9" spans="1:26" ht="15">
      <c r="A9" s="256">
        <v>3</v>
      </c>
      <c r="B9" s="257" t="s">
        <v>217</v>
      </c>
      <c r="C9" s="258">
        <f aca="true" t="shared" si="5" ref="C9:C33">+D9+E9+F9+G9</f>
        <v>4.602</v>
      </c>
      <c r="D9" s="258"/>
      <c r="E9" s="258">
        <v>1.457</v>
      </c>
      <c r="F9" s="258">
        <v>3.145</v>
      </c>
      <c r="G9" s="258"/>
      <c r="H9" s="259"/>
      <c r="I9" s="260">
        <f t="shared" si="0"/>
        <v>0</v>
      </c>
      <c r="J9" s="260"/>
      <c r="K9" s="259"/>
      <c r="L9" s="259"/>
      <c r="M9" s="259"/>
      <c r="N9" s="259"/>
      <c r="O9" s="261">
        <f t="shared" si="1"/>
        <v>0</v>
      </c>
      <c r="P9" s="261">
        <f t="shared" si="2"/>
        <v>603.4786799999999</v>
      </c>
      <c r="Q9" s="592">
        <f t="shared" si="3"/>
        <v>2.217</v>
      </c>
      <c r="R9" s="592"/>
      <c r="S9" s="592">
        <v>0.767</v>
      </c>
      <c r="T9" s="592">
        <v>1.45</v>
      </c>
      <c r="U9" s="594"/>
      <c r="V9" s="262"/>
      <c r="W9" s="595">
        <v>297</v>
      </c>
      <c r="X9" s="532">
        <f t="shared" si="4"/>
        <v>0.48174706649282917</v>
      </c>
      <c r="Z9" s="255">
        <v>2.36</v>
      </c>
    </row>
    <row r="10" spans="1:26" ht="15">
      <c r="A10" s="256">
        <v>4</v>
      </c>
      <c r="B10" s="257" t="s">
        <v>218</v>
      </c>
      <c r="C10" s="258">
        <f t="shared" si="5"/>
        <v>3.26</v>
      </c>
      <c r="D10" s="258"/>
      <c r="E10" s="258">
        <v>0.19</v>
      </c>
      <c r="F10" s="258">
        <v>3.07</v>
      </c>
      <c r="G10" s="258"/>
      <c r="H10" s="259"/>
      <c r="I10" s="260">
        <f t="shared" si="0"/>
        <v>0</v>
      </c>
      <c r="J10" s="260"/>
      <c r="K10" s="259"/>
      <c r="L10" s="259"/>
      <c r="M10" s="259"/>
      <c r="N10" s="259"/>
      <c r="O10" s="261">
        <f t="shared" si="1"/>
        <v>0</v>
      </c>
      <c r="P10" s="261">
        <f t="shared" si="2"/>
        <v>375.85799999999995</v>
      </c>
      <c r="Q10" s="592">
        <f t="shared" si="3"/>
        <v>0.41</v>
      </c>
      <c r="R10" s="592"/>
      <c r="S10" s="592"/>
      <c r="T10" s="592">
        <v>0.41</v>
      </c>
      <c r="U10" s="594"/>
      <c r="V10" s="262"/>
      <c r="W10" s="595">
        <v>51</v>
      </c>
      <c r="X10" s="532">
        <f t="shared" si="4"/>
        <v>0.12576687116564417</v>
      </c>
      <c r="Z10" s="255"/>
    </row>
    <row r="11" spans="1:26" ht="15">
      <c r="A11" s="256">
        <v>5</v>
      </c>
      <c r="B11" s="257" t="s">
        <v>219</v>
      </c>
      <c r="C11" s="258">
        <f t="shared" si="5"/>
        <v>7.478</v>
      </c>
      <c r="D11" s="258"/>
      <c r="E11" s="258"/>
      <c r="F11" s="258">
        <v>7.478</v>
      </c>
      <c r="G11" s="258"/>
      <c r="H11" s="259"/>
      <c r="I11" s="260">
        <f t="shared" si="0"/>
        <v>0</v>
      </c>
      <c r="J11" s="260"/>
      <c r="K11" s="259"/>
      <c r="L11" s="259"/>
      <c r="M11" s="259"/>
      <c r="N11" s="259"/>
      <c r="O11" s="261">
        <f t="shared" si="1"/>
        <v>0</v>
      </c>
      <c r="P11" s="261">
        <f t="shared" si="2"/>
        <v>835.44216</v>
      </c>
      <c r="Q11" s="592">
        <f t="shared" si="3"/>
        <v>0</v>
      </c>
      <c r="R11" s="592"/>
      <c r="S11" s="592"/>
      <c r="T11" s="592"/>
      <c r="U11" s="594"/>
      <c r="V11" s="262"/>
      <c r="W11" s="595"/>
      <c r="X11" s="532">
        <f t="shared" si="4"/>
        <v>0</v>
      </c>
      <c r="Z11" s="255"/>
    </row>
    <row r="12" spans="1:26" ht="15">
      <c r="A12" s="256">
        <v>6</v>
      </c>
      <c r="B12" s="257" t="s">
        <v>220</v>
      </c>
      <c r="C12" s="258">
        <f t="shared" si="5"/>
        <v>3.9</v>
      </c>
      <c r="D12" s="258">
        <v>0.5</v>
      </c>
      <c r="E12" s="258"/>
      <c r="F12" s="258">
        <v>3.4</v>
      </c>
      <c r="G12" s="258"/>
      <c r="H12" s="259"/>
      <c r="I12" s="260">
        <f t="shared" si="0"/>
        <v>0</v>
      </c>
      <c r="J12" s="260"/>
      <c r="K12" s="259"/>
      <c r="L12" s="259"/>
      <c r="M12" s="259"/>
      <c r="N12" s="259"/>
      <c r="O12" s="261">
        <f t="shared" si="1"/>
        <v>0</v>
      </c>
      <c r="P12" s="261">
        <f t="shared" si="2"/>
        <v>477.183</v>
      </c>
      <c r="Q12" s="592">
        <f t="shared" si="3"/>
        <v>2.346</v>
      </c>
      <c r="R12" s="592">
        <v>0.453</v>
      </c>
      <c r="S12" s="592">
        <v>0.1</v>
      </c>
      <c r="T12" s="592">
        <v>1.793</v>
      </c>
      <c r="U12" s="594"/>
      <c r="V12" s="262"/>
      <c r="W12" s="595">
        <v>321</v>
      </c>
      <c r="X12" s="532">
        <f t="shared" si="4"/>
        <v>0.6015384615384616</v>
      </c>
      <c r="Z12" s="255">
        <v>2.5</v>
      </c>
    </row>
    <row r="13" spans="1:26" ht="15">
      <c r="A13" s="256">
        <v>7</v>
      </c>
      <c r="B13" s="257" t="s">
        <v>221</v>
      </c>
      <c r="C13" s="258">
        <f t="shared" si="5"/>
        <v>7.06</v>
      </c>
      <c r="D13" s="258">
        <v>0.35</v>
      </c>
      <c r="E13" s="258"/>
      <c r="F13" s="258">
        <v>6.51</v>
      </c>
      <c r="G13" s="258">
        <v>0.2</v>
      </c>
      <c r="H13" s="259"/>
      <c r="I13" s="260">
        <f t="shared" si="0"/>
        <v>0</v>
      </c>
      <c r="J13" s="260"/>
      <c r="K13" s="259"/>
      <c r="L13" s="259"/>
      <c r="M13" s="259"/>
      <c r="N13" s="259"/>
      <c r="O13" s="261">
        <f t="shared" si="1"/>
        <v>0</v>
      </c>
      <c r="P13" s="261">
        <f t="shared" si="2"/>
        <v>817.7757</v>
      </c>
      <c r="Q13" s="592">
        <f t="shared" si="3"/>
        <v>0</v>
      </c>
      <c r="R13" s="592"/>
      <c r="S13" s="592"/>
      <c r="T13" s="592"/>
      <c r="U13" s="594"/>
      <c r="V13" s="262"/>
      <c r="W13" s="595"/>
      <c r="X13" s="532">
        <f t="shared" si="4"/>
        <v>0</v>
      </c>
      <c r="Z13" s="255"/>
    </row>
    <row r="14" spans="1:26" ht="15">
      <c r="A14" s="263">
        <v>8</v>
      </c>
      <c r="B14" s="264" t="s">
        <v>222</v>
      </c>
      <c r="C14" s="258">
        <f t="shared" si="5"/>
        <v>4.308999999999999</v>
      </c>
      <c r="D14" s="265"/>
      <c r="E14" s="265">
        <v>0.841</v>
      </c>
      <c r="F14" s="265">
        <v>3.062</v>
      </c>
      <c r="G14" s="265">
        <v>0.406</v>
      </c>
      <c r="H14" s="262"/>
      <c r="I14" s="266">
        <f t="shared" si="0"/>
        <v>0</v>
      </c>
      <c r="J14" s="266"/>
      <c r="K14" s="262"/>
      <c r="L14" s="262"/>
      <c r="M14" s="262"/>
      <c r="N14" s="262"/>
      <c r="O14" s="267">
        <f t="shared" si="1"/>
        <v>0</v>
      </c>
      <c r="P14" s="261">
        <f t="shared" si="2"/>
        <v>532.9716</v>
      </c>
      <c r="Q14" s="592">
        <f t="shared" si="3"/>
        <v>0.502</v>
      </c>
      <c r="R14" s="592"/>
      <c r="S14" s="592"/>
      <c r="T14" s="592">
        <v>0.502</v>
      </c>
      <c r="U14" s="594"/>
      <c r="V14" s="262"/>
      <c r="W14" s="595">
        <v>56</v>
      </c>
      <c r="X14" s="532">
        <f t="shared" si="4"/>
        <v>0.1165003481086099</v>
      </c>
      <c r="Z14" s="255"/>
    </row>
    <row r="15" spans="1:26" ht="15">
      <c r="A15" s="256">
        <v>9</v>
      </c>
      <c r="B15" s="257" t="s">
        <v>223</v>
      </c>
      <c r="C15" s="258">
        <f t="shared" si="5"/>
        <v>1.955</v>
      </c>
      <c r="D15" s="258"/>
      <c r="E15" s="258">
        <v>0.6</v>
      </c>
      <c r="F15" s="258">
        <v>1.355</v>
      </c>
      <c r="G15" s="258"/>
      <c r="H15" s="259"/>
      <c r="I15" s="260">
        <f t="shared" si="0"/>
        <v>0</v>
      </c>
      <c r="J15" s="260"/>
      <c r="K15" s="259"/>
      <c r="L15" s="259"/>
      <c r="M15" s="259"/>
      <c r="N15" s="259"/>
      <c r="O15" s="261">
        <f t="shared" si="1"/>
        <v>0</v>
      </c>
      <c r="P15" s="261">
        <f t="shared" si="2"/>
        <v>255.20459999999997</v>
      </c>
      <c r="Q15" s="592">
        <f t="shared" si="3"/>
        <v>0</v>
      </c>
      <c r="R15" s="592"/>
      <c r="S15" s="592"/>
      <c r="T15" s="592"/>
      <c r="U15" s="594"/>
      <c r="V15" s="262"/>
      <c r="W15" s="595"/>
      <c r="X15" s="532">
        <f t="shared" si="4"/>
        <v>0</v>
      </c>
      <c r="Z15" s="255"/>
    </row>
    <row r="16" spans="1:26" ht="15">
      <c r="A16" s="102">
        <v>10</v>
      </c>
      <c r="B16" s="257" t="s">
        <v>224</v>
      </c>
      <c r="C16" s="258">
        <f t="shared" si="5"/>
        <v>5.24</v>
      </c>
      <c r="D16" s="258"/>
      <c r="E16" s="258">
        <v>2.42</v>
      </c>
      <c r="F16" s="258">
        <v>2.82</v>
      </c>
      <c r="G16" s="258"/>
      <c r="H16" s="259"/>
      <c r="I16" s="260">
        <f t="shared" si="0"/>
        <v>0</v>
      </c>
      <c r="J16" s="260"/>
      <c r="K16" s="259"/>
      <c r="L16" s="259"/>
      <c r="M16" s="259"/>
      <c r="N16" s="259"/>
      <c r="O16" s="261">
        <f t="shared" si="1"/>
        <v>0</v>
      </c>
      <c r="P16" s="261">
        <f t="shared" si="2"/>
        <v>733.8072</v>
      </c>
      <c r="Q16" s="592">
        <f t="shared" si="3"/>
        <v>0</v>
      </c>
      <c r="R16" s="592"/>
      <c r="S16" s="592"/>
      <c r="T16" s="592"/>
      <c r="U16" s="594"/>
      <c r="V16" s="262"/>
      <c r="W16" s="595"/>
      <c r="X16" s="532">
        <f t="shared" si="4"/>
        <v>0</v>
      </c>
      <c r="Z16" s="255"/>
    </row>
    <row r="17" spans="1:26" ht="15">
      <c r="A17" s="102">
        <v>11</v>
      </c>
      <c r="B17" s="257" t="s">
        <v>225</v>
      </c>
      <c r="C17" s="258">
        <f t="shared" si="5"/>
        <v>1.26</v>
      </c>
      <c r="D17" s="258"/>
      <c r="E17" s="258">
        <v>0.23</v>
      </c>
      <c r="F17" s="258">
        <v>1.03</v>
      </c>
      <c r="G17" s="258"/>
      <c r="H17" s="259"/>
      <c r="I17" s="260">
        <f t="shared" si="0"/>
        <v>0</v>
      </c>
      <c r="J17" s="260"/>
      <c r="K17" s="259"/>
      <c r="L17" s="259"/>
      <c r="M17" s="259"/>
      <c r="N17" s="259"/>
      <c r="O17" s="261">
        <f t="shared" si="1"/>
        <v>0</v>
      </c>
      <c r="P17" s="261">
        <f t="shared" si="2"/>
        <v>154.8708</v>
      </c>
      <c r="Q17" s="592">
        <f t="shared" si="3"/>
        <v>0.32</v>
      </c>
      <c r="R17" s="592"/>
      <c r="S17" s="592"/>
      <c r="T17" s="592">
        <v>0.32</v>
      </c>
      <c r="U17" s="594"/>
      <c r="V17" s="262"/>
      <c r="W17" s="595">
        <v>35</v>
      </c>
      <c r="X17" s="532">
        <f t="shared" si="4"/>
        <v>0.25396825396825395</v>
      </c>
      <c r="Z17" s="255">
        <v>0.32</v>
      </c>
    </row>
    <row r="18" spans="1:26" ht="15">
      <c r="A18" s="102">
        <v>12</v>
      </c>
      <c r="B18" s="257" t="s">
        <v>226</v>
      </c>
      <c r="C18" s="258">
        <f t="shared" si="5"/>
        <v>1.911</v>
      </c>
      <c r="D18" s="258">
        <v>0.186</v>
      </c>
      <c r="E18" s="258"/>
      <c r="F18" s="258">
        <v>1.725</v>
      </c>
      <c r="G18" s="258"/>
      <c r="H18" s="259"/>
      <c r="I18" s="260">
        <f t="shared" si="0"/>
        <v>0</v>
      </c>
      <c r="J18" s="260"/>
      <c r="K18" s="259"/>
      <c r="L18" s="259"/>
      <c r="M18" s="259"/>
      <c r="N18" s="259"/>
      <c r="O18" s="261">
        <f t="shared" si="1"/>
        <v>0</v>
      </c>
      <c r="P18" s="261">
        <f t="shared" si="2"/>
        <v>228.92562</v>
      </c>
      <c r="Q18" s="592">
        <f t="shared" si="3"/>
        <v>0</v>
      </c>
      <c r="R18" s="592"/>
      <c r="S18" s="592"/>
      <c r="T18" s="592"/>
      <c r="U18" s="594"/>
      <c r="V18" s="262"/>
      <c r="W18" s="595">
        <v>38</v>
      </c>
      <c r="X18" s="532">
        <f t="shared" si="4"/>
        <v>0</v>
      </c>
      <c r="Z18" s="255"/>
    </row>
    <row r="19" spans="1:26" ht="15">
      <c r="A19" s="102">
        <v>13</v>
      </c>
      <c r="B19" s="257" t="s">
        <v>227</v>
      </c>
      <c r="C19" s="258">
        <f t="shared" si="5"/>
        <v>3.23</v>
      </c>
      <c r="D19" s="258"/>
      <c r="E19" s="258">
        <v>0.5</v>
      </c>
      <c r="F19" s="258">
        <v>2.73</v>
      </c>
      <c r="G19" s="258"/>
      <c r="H19" s="259"/>
      <c r="I19" s="260">
        <f t="shared" si="0"/>
        <v>0</v>
      </c>
      <c r="J19" s="260"/>
      <c r="K19" s="259"/>
      <c r="L19" s="259"/>
      <c r="M19" s="259"/>
      <c r="N19" s="259"/>
      <c r="O19" s="261">
        <f t="shared" si="1"/>
        <v>0</v>
      </c>
      <c r="P19" s="261">
        <f t="shared" si="2"/>
        <v>391.51559999999995</v>
      </c>
      <c r="Q19" s="592">
        <f t="shared" si="3"/>
        <v>0</v>
      </c>
      <c r="R19" s="592"/>
      <c r="S19" s="592"/>
      <c r="T19" s="592"/>
      <c r="U19" s="594"/>
      <c r="V19" s="262"/>
      <c r="W19" s="595"/>
      <c r="X19" s="532">
        <f t="shared" si="4"/>
        <v>0</v>
      </c>
      <c r="Z19" s="255"/>
    </row>
    <row r="20" spans="1:26" ht="15">
      <c r="A20" s="102">
        <v>14</v>
      </c>
      <c r="B20" s="257" t="s">
        <v>228</v>
      </c>
      <c r="C20" s="258">
        <f t="shared" si="5"/>
        <v>2.6</v>
      </c>
      <c r="D20" s="258"/>
      <c r="E20" s="258"/>
      <c r="F20" s="258">
        <v>2.2</v>
      </c>
      <c r="G20" s="258">
        <v>0.4</v>
      </c>
      <c r="H20" s="259"/>
      <c r="I20" s="260">
        <f t="shared" si="0"/>
        <v>0</v>
      </c>
      <c r="J20" s="260"/>
      <c r="K20" s="259"/>
      <c r="L20" s="259"/>
      <c r="M20" s="259"/>
      <c r="N20" s="259"/>
      <c r="O20" s="261">
        <f t="shared" si="1"/>
        <v>0</v>
      </c>
      <c r="P20" s="261">
        <f t="shared" si="2"/>
        <v>290.472</v>
      </c>
      <c r="Q20" s="592">
        <f t="shared" si="3"/>
        <v>0.315</v>
      </c>
      <c r="R20" s="592"/>
      <c r="S20" s="592"/>
      <c r="T20" s="592">
        <v>0.315</v>
      </c>
      <c r="U20" s="594"/>
      <c r="V20" s="262"/>
      <c r="W20" s="595">
        <v>38</v>
      </c>
      <c r="X20" s="532">
        <f t="shared" si="4"/>
        <v>0.12115384615384615</v>
      </c>
      <c r="Z20" s="255">
        <v>0.35</v>
      </c>
    </row>
    <row r="21" spans="1:26" ht="15">
      <c r="A21" s="102">
        <v>15</v>
      </c>
      <c r="B21" s="257" t="s">
        <v>229</v>
      </c>
      <c r="C21" s="258">
        <f t="shared" si="5"/>
        <v>4.483999999999999</v>
      </c>
      <c r="D21" s="258"/>
      <c r="E21" s="258">
        <v>1.843</v>
      </c>
      <c r="F21" s="258">
        <v>2.456</v>
      </c>
      <c r="G21" s="258">
        <v>0.185</v>
      </c>
      <c r="H21" s="259"/>
      <c r="I21" s="260">
        <f t="shared" si="0"/>
        <v>0</v>
      </c>
      <c r="J21" s="260"/>
      <c r="K21" s="259"/>
      <c r="L21" s="259"/>
      <c r="M21" s="259"/>
      <c r="N21" s="259"/>
      <c r="O21" s="261">
        <f t="shared" si="1"/>
        <v>0</v>
      </c>
      <c r="P21" s="261">
        <f t="shared" si="2"/>
        <v>613.96524</v>
      </c>
      <c r="Q21" s="592">
        <f t="shared" si="3"/>
        <v>0</v>
      </c>
      <c r="R21" s="592"/>
      <c r="S21" s="592"/>
      <c r="T21" s="592"/>
      <c r="U21" s="594"/>
      <c r="V21" s="262"/>
      <c r="W21" s="595"/>
      <c r="X21" s="532">
        <f t="shared" si="4"/>
        <v>0</v>
      </c>
      <c r="Z21" s="255"/>
    </row>
    <row r="22" spans="1:26" ht="15">
      <c r="A22" s="102">
        <v>16</v>
      </c>
      <c r="B22" s="257" t="s">
        <v>230</v>
      </c>
      <c r="C22" s="258">
        <f t="shared" si="5"/>
        <v>1.487</v>
      </c>
      <c r="D22" s="258"/>
      <c r="E22" s="258">
        <v>1.487</v>
      </c>
      <c r="F22" s="258"/>
      <c r="G22" s="258"/>
      <c r="H22" s="259"/>
      <c r="I22" s="260">
        <f t="shared" si="0"/>
        <v>0</v>
      </c>
      <c r="J22" s="260"/>
      <c r="K22" s="259"/>
      <c r="L22" s="259"/>
      <c r="M22" s="259"/>
      <c r="N22" s="259"/>
      <c r="O22" s="261">
        <f t="shared" si="1"/>
        <v>0</v>
      </c>
      <c r="P22" s="261">
        <f t="shared" si="2"/>
        <v>257.31048</v>
      </c>
      <c r="Q22" s="592">
        <f t="shared" si="3"/>
        <v>0</v>
      </c>
      <c r="R22" s="592"/>
      <c r="S22" s="592"/>
      <c r="T22" s="592"/>
      <c r="U22" s="594"/>
      <c r="V22" s="262"/>
      <c r="W22" s="595"/>
      <c r="X22" s="532">
        <f t="shared" si="4"/>
        <v>0</v>
      </c>
      <c r="Z22" s="255"/>
    </row>
    <row r="23" spans="1:26" ht="15">
      <c r="A23" s="102">
        <v>17</v>
      </c>
      <c r="B23" s="257" t="s">
        <v>231</v>
      </c>
      <c r="C23" s="258">
        <f t="shared" si="5"/>
        <v>2.5</v>
      </c>
      <c r="D23" s="258"/>
      <c r="E23" s="258">
        <v>0.45</v>
      </c>
      <c r="F23" s="258">
        <v>1.55</v>
      </c>
      <c r="G23" s="258">
        <v>0.5</v>
      </c>
      <c r="H23" s="259"/>
      <c r="I23" s="260">
        <f t="shared" si="0"/>
        <v>0</v>
      </c>
      <c r="J23" s="260"/>
      <c r="K23" s="259"/>
      <c r="L23" s="259"/>
      <c r="M23" s="259"/>
      <c r="N23" s="259"/>
      <c r="O23" s="261">
        <f t="shared" si="1"/>
        <v>0</v>
      </c>
      <c r="P23" s="261">
        <f t="shared" si="2"/>
        <v>306.894</v>
      </c>
      <c r="Q23" s="592">
        <f t="shared" si="3"/>
        <v>0.6</v>
      </c>
      <c r="R23" s="592"/>
      <c r="S23" s="592"/>
      <c r="T23" s="592">
        <v>0.6</v>
      </c>
      <c r="U23" s="594"/>
      <c r="V23" s="262"/>
      <c r="W23" s="595">
        <v>60</v>
      </c>
      <c r="X23" s="532">
        <f t="shared" si="4"/>
        <v>0.24</v>
      </c>
      <c r="Z23" s="255"/>
    </row>
    <row r="24" spans="1:26" ht="15">
      <c r="A24" s="102">
        <v>18</v>
      </c>
      <c r="B24" s="257" t="s">
        <v>232</v>
      </c>
      <c r="C24" s="258">
        <f t="shared" si="5"/>
        <v>2.4400000000000004</v>
      </c>
      <c r="D24" s="258"/>
      <c r="E24" s="258">
        <v>2.24</v>
      </c>
      <c r="F24" s="258">
        <v>0.1</v>
      </c>
      <c r="G24" s="258">
        <v>0.1</v>
      </c>
      <c r="H24" s="259"/>
      <c r="I24" s="260">
        <f t="shared" si="0"/>
        <v>0</v>
      </c>
      <c r="J24" s="260"/>
      <c r="K24" s="259"/>
      <c r="L24" s="259"/>
      <c r="M24" s="259"/>
      <c r="N24" s="259"/>
      <c r="O24" s="261"/>
      <c r="P24" s="261">
        <f t="shared" si="2"/>
        <v>409.9536</v>
      </c>
      <c r="Q24" s="592">
        <f t="shared" si="3"/>
        <v>0</v>
      </c>
      <c r="R24" s="592"/>
      <c r="S24" s="592"/>
      <c r="T24" s="592"/>
      <c r="U24" s="594"/>
      <c r="V24" s="262"/>
      <c r="W24" s="595"/>
      <c r="X24" s="532">
        <f t="shared" si="4"/>
        <v>0</v>
      </c>
      <c r="Z24" s="255"/>
    </row>
    <row r="25" spans="1:26" ht="15">
      <c r="A25" s="102">
        <v>19</v>
      </c>
      <c r="B25" s="257" t="s">
        <v>233</v>
      </c>
      <c r="C25" s="258">
        <f t="shared" si="5"/>
        <v>3.15</v>
      </c>
      <c r="D25" s="258"/>
      <c r="E25" s="258">
        <v>1.15</v>
      </c>
      <c r="F25" s="258">
        <v>2</v>
      </c>
      <c r="G25" s="258"/>
      <c r="H25" s="259"/>
      <c r="I25" s="260">
        <f t="shared" si="0"/>
        <v>0</v>
      </c>
      <c r="J25" s="260"/>
      <c r="K25" s="259"/>
      <c r="L25" s="259"/>
      <c r="M25" s="259"/>
      <c r="N25" s="259"/>
      <c r="O25" s="261"/>
      <c r="P25" s="261">
        <f t="shared" si="2"/>
        <v>422.436</v>
      </c>
      <c r="Q25" s="592">
        <f t="shared" si="3"/>
        <v>0</v>
      </c>
      <c r="R25" s="592"/>
      <c r="S25" s="592"/>
      <c r="T25" s="592"/>
      <c r="U25" s="594"/>
      <c r="V25" s="262"/>
      <c r="W25" s="595"/>
      <c r="X25" s="532">
        <f t="shared" si="4"/>
        <v>0</v>
      </c>
      <c r="Z25" s="255"/>
    </row>
    <row r="26" spans="1:26" ht="15">
      <c r="A26" s="102">
        <v>20</v>
      </c>
      <c r="B26" s="257" t="s">
        <v>234</v>
      </c>
      <c r="C26" s="258">
        <f t="shared" si="5"/>
        <v>3</v>
      </c>
      <c r="D26" s="258"/>
      <c r="E26" s="258">
        <v>1.85</v>
      </c>
      <c r="F26" s="258">
        <v>1.15</v>
      </c>
      <c r="G26" s="258"/>
      <c r="H26" s="259"/>
      <c r="I26" s="260">
        <f t="shared" si="0"/>
        <v>0</v>
      </c>
      <c r="J26" s="260"/>
      <c r="K26" s="259"/>
      <c r="L26" s="259"/>
      <c r="M26" s="259"/>
      <c r="N26" s="259"/>
      <c r="O26" s="261"/>
      <c r="P26" s="261">
        <f t="shared" si="2"/>
        <v>448.602</v>
      </c>
      <c r="Q26" s="592">
        <f t="shared" si="3"/>
        <v>3</v>
      </c>
      <c r="R26" s="592"/>
      <c r="S26" s="592">
        <v>1.85</v>
      </c>
      <c r="T26" s="592">
        <v>1.15</v>
      </c>
      <c r="U26" s="594"/>
      <c r="V26" s="262"/>
      <c r="W26" s="595">
        <v>445</v>
      </c>
      <c r="X26" s="532">
        <f t="shared" si="4"/>
        <v>1</v>
      </c>
      <c r="Z26" s="255"/>
    </row>
    <row r="27" spans="1:26" ht="15">
      <c r="A27" s="102">
        <v>21</v>
      </c>
      <c r="B27" s="257" t="s">
        <v>235</v>
      </c>
      <c r="C27" s="258">
        <f t="shared" si="5"/>
        <v>4.1</v>
      </c>
      <c r="D27" s="258"/>
      <c r="E27" s="258">
        <v>0.6</v>
      </c>
      <c r="F27" s="258">
        <v>3.13</v>
      </c>
      <c r="G27" s="258">
        <v>0.37</v>
      </c>
      <c r="H27" s="259"/>
      <c r="I27" s="260">
        <f t="shared" si="0"/>
        <v>0</v>
      </c>
      <c r="J27" s="260"/>
      <c r="K27" s="259"/>
      <c r="L27" s="259"/>
      <c r="M27" s="259"/>
      <c r="N27" s="259"/>
      <c r="O27" s="261"/>
      <c r="P27" s="261">
        <f t="shared" si="2"/>
        <v>494.844</v>
      </c>
      <c r="Q27" s="592">
        <f t="shared" si="3"/>
        <v>0.15</v>
      </c>
      <c r="R27" s="592"/>
      <c r="S27" s="592"/>
      <c r="T27" s="592">
        <v>0.15</v>
      </c>
      <c r="U27" s="594"/>
      <c r="V27" s="262"/>
      <c r="W27" s="595">
        <v>45</v>
      </c>
      <c r="X27" s="532">
        <f t="shared" si="4"/>
        <v>0.03658536585365854</v>
      </c>
      <c r="Z27" s="255"/>
    </row>
    <row r="28" spans="1:26" ht="15">
      <c r="A28" s="102">
        <v>22</v>
      </c>
      <c r="B28" s="257" t="s">
        <v>236</v>
      </c>
      <c r="C28" s="258">
        <f t="shared" si="5"/>
        <v>4.05</v>
      </c>
      <c r="D28" s="258"/>
      <c r="E28" s="258">
        <v>1</v>
      </c>
      <c r="F28" s="258">
        <v>3.05</v>
      </c>
      <c r="G28" s="258"/>
      <c r="H28" s="259"/>
      <c r="I28" s="260">
        <f t="shared" si="0"/>
        <v>0</v>
      </c>
      <c r="J28" s="260"/>
      <c r="K28" s="259"/>
      <c r="L28" s="259"/>
      <c r="M28" s="259"/>
      <c r="N28" s="259"/>
      <c r="O28" s="261"/>
      <c r="P28" s="261">
        <f t="shared" si="2"/>
        <v>513.786</v>
      </c>
      <c r="Q28" s="592">
        <f t="shared" si="3"/>
        <v>0</v>
      </c>
      <c r="R28" s="592"/>
      <c r="S28" s="592"/>
      <c r="T28" s="592"/>
      <c r="U28" s="594"/>
      <c r="V28" s="262"/>
      <c r="W28" s="595"/>
      <c r="X28" s="532">
        <f t="shared" si="4"/>
        <v>0</v>
      </c>
      <c r="Z28" s="255"/>
    </row>
    <row r="29" spans="1:26" ht="15">
      <c r="A29" s="102">
        <v>23</v>
      </c>
      <c r="B29" s="257" t="s">
        <v>237</v>
      </c>
      <c r="C29" s="258">
        <f t="shared" si="5"/>
        <v>2.52</v>
      </c>
      <c r="D29" s="258"/>
      <c r="E29" s="258">
        <v>1.5</v>
      </c>
      <c r="F29" s="258">
        <v>1.02</v>
      </c>
      <c r="G29" s="258"/>
      <c r="H29" s="259"/>
      <c r="I29" s="260">
        <f t="shared" si="0"/>
        <v>0</v>
      </c>
      <c r="J29" s="260"/>
      <c r="K29" s="259"/>
      <c r="L29" s="259"/>
      <c r="M29" s="259"/>
      <c r="N29" s="259"/>
      <c r="O29" s="261"/>
      <c r="P29" s="261">
        <f t="shared" si="2"/>
        <v>373.5144</v>
      </c>
      <c r="Q29" s="592">
        <f t="shared" si="3"/>
        <v>0</v>
      </c>
      <c r="R29" s="592"/>
      <c r="S29" s="592"/>
      <c r="T29" s="592"/>
      <c r="U29" s="594"/>
      <c r="V29" s="262"/>
      <c r="W29" s="595"/>
      <c r="X29" s="532">
        <f t="shared" si="4"/>
        <v>0</v>
      </c>
      <c r="Z29" s="255"/>
    </row>
    <row r="30" spans="1:26" ht="15">
      <c r="A30" s="102">
        <v>24</v>
      </c>
      <c r="B30" s="257" t="s">
        <v>238</v>
      </c>
      <c r="C30" s="258">
        <f t="shared" si="5"/>
        <v>2.4</v>
      </c>
      <c r="D30" s="258"/>
      <c r="E30" s="258"/>
      <c r="F30" s="258">
        <v>2.4</v>
      </c>
      <c r="G30" s="258"/>
      <c r="H30" s="259"/>
      <c r="I30" s="260">
        <f t="shared" si="0"/>
        <v>0</v>
      </c>
      <c r="J30" s="260"/>
      <c r="K30" s="259"/>
      <c r="L30" s="259"/>
      <c r="M30" s="259"/>
      <c r="N30" s="259"/>
      <c r="O30" s="261">
        <f>K30*182+L30*117</f>
        <v>0</v>
      </c>
      <c r="P30" s="261">
        <f t="shared" si="2"/>
        <v>268.128</v>
      </c>
      <c r="Q30" s="592">
        <f t="shared" si="3"/>
        <v>1.13</v>
      </c>
      <c r="R30" s="592"/>
      <c r="S30" s="592"/>
      <c r="T30" s="592">
        <v>1.13</v>
      </c>
      <c r="U30" s="594"/>
      <c r="V30" s="262"/>
      <c r="W30" s="595">
        <v>181</v>
      </c>
      <c r="X30" s="532">
        <f t="shared" si="4"/>
        <v>0.4708333333333333</v>
      </c>
      <c r="Z30" s="255">
        <v>2.4</v>
      </c>
    </row>
    <row r="31" spans="1:26" ht="15">
      <c r="A31" s="102">
        <v>25</v>
      </c>
      <c r="B31" s="268" t="s">
        <v>239</v>
      </c>
      <c r="C31" s="258">
        <f t="shared" si="5"/>
        <v>1.15</v>
      </c>
      <c r="D31" s="269"/>
      <c r="E31" s="269">
        <v>0.95</v>
      </c>
      <c r="F31" s="269">
        <v>0.2</v>
      </c>
      <c r="G31" s="269"/>
      <c r="H31" s="270"/>
      <c r="I31" s="271"/>
      <c r="J31" s="271"/>
      <c r="K31" s="270"/>
      <c r="L31" s="270"/>
      <c r="M31" s="270"/>
      <c r="N31" s="270"/>
      <c r="O31" s="272"/>
      <c r="P31" s="261">
        <f t="shared" si="2"/>
        <v>186.73199999999997</v>
      </c>
      <c r="Q31" s="596">
        <f t="shared" si="3"/>
        <v>0</v>
      </c>
      <c r="R31" s="596"/>
      <c r="S31" s="596"/>
      <c r="T31" s="596"/>
      <c r="U31" s="597"/>
      <c r="V31" s="273"/>
      <c r="W31" s="598"/>
      <c r="X31" s="532">
        <f t="shared" si="4"/>
        <v>0</v>
      </c>
      <c r="Z31" s="255"/>
    </row>
    <row r="32" spans="1:26" ht="15">
      <c r="A32" s="102">
        <v>26</v>
      </c>
      <c r="B32" s="268" t="s">
        <v>240</v>
      </c>
      <c r="C32" s="258">
        <f t="shared" si="5"/>
        <v>1.4</v>
      </c>
      <c r="D32" s="269"/>
      <c r="E32" s="269">
        <v>0.8</v>
      </c>
      <c r="F32" s="269">
        <v>0.6</v>
      </c>
      <c r="G32" s="269"/>
      <c r="H32" s="270"/>
      <c r="I32" s="271"/>
      <c r="J32" s="271"/>
      <c r="K32" s="270"/>
      <c r="L32" s="270"/>
      <c r="M32" s="270"/>
      <c r="N32" s="270"/>
      <c r="O32" s="272"/>
      <c r="P32" s="261">
        <f t="shared" si="2"/>
        <v>205.464</v>
      </c>
      <c r="Q32" s="599">
        <f t="shared" si="3"/>
        <v>0</v>
      </c>
      <c r="R32" s="600"/>
      <c r="S32" s="600"/>
      <c r="T32" s="600"/>
      <c r="U32" s="601"/>
      <c r="V32" s="273"/>
      <c r="W32" s="602"/>
      <c r="X32" s="532">
        <f t="shared" si="4"/>
        <v>0</v>
      </c>
      <c r="Z32" s="255"/>
    </row>
    <row r="33" spans="1:26" ht="15">
      <c r="A33" s="102">
        <v>27</v>
      </c>
      <c r="B33" s="268" t="s">
        <v>241</v>
      </c>
      <c r="C33" s="258">
        <f t="shared" si="5"/>
        <v>3.5</v>
      </c>
      <c r="D33" s="269"/>
      <c r="E33" s="269">
        <v>1.5</v>
      </c>
      <c r="F33" s="269">
        <v>2</v>
      </c>
      <c r="G33" s="269"/>
      <c r="H33" s="270"/>
      <c r="I33" s="271"/>
      <c r="J33" s="271"/>
      <c r="K33" s="270"/>
      <c r="L33" s="270"/>
      <c r="M33" s="270"/>
      <c r="N33" s="270"/>
      <c r="O33" s="272"/>
      <c r="P33" s="261">
        <f t="shared" si="2"/>
        <v>483</v>
      </c>
      <c r="Q33" s="592">
        <f t="shared" si="3"/>
        <v>0</v>
      </c>
      <c r="R33" s="603"/>
      <c r="S33" s="603"/>
      <c r="T33" s="603"/>
      <c r="U33" s="604"/>
      <c r="V33" s="273"/>
      <c r="W33" s="605"/>
      <c r="X33" s="532">
        <f t="shared" si="4"/>
        <v>0</v>
      </c>
      <c r="Z33" s="255"/>
    </row>
    <row r="34" spans="1:26" s="280" customFormat="1" ht="14.25">
      <c r="A34" s="274"/>
      <c r="B34" s="274" t="s">
        <v>38</v>
      </c>
      <c r="C34" s="275">
        <f>+D34+E34+F34+G34</f>
        <v>96.393</v>
      </c>
      <c r="D34" s="275">
        <f>SUM(D7:D33)</f>
        <v>2.251</v>
      </c>
      <c r="E34" s="275">
        <f>SUM(E7:E33)</f>
        <v>25.193</v>
      </c>
      <c r="F34" s="275">
        <f>SUM(F7:F33)</f>
        <v>64.018</v>
      </c>
      <c r="G34" s="276">
        <f>SUM(G7:G30)</f>
        <v>4.931</v>
      </c>
      <c r="H34" s="277"/>
      <c r="I34" s="278">
        <f>SUM(I7:I30)</f>
        <v>0</v>
      </c>
      <c r="J34" s="278"/>
      <c r="K34" s="278">
        <f>SUM(K7:K30)</f>
        <v>0</v>
      </c>
      <c r="L34" s="278">
        <f>SUM(L7:L30)</f>
        <v>0</v>
      </c>
      <c r="M34" s="277"/>
      <c r="N34" s="277"/>
      <c r="O34" s="279">
        <f>SUM(O7:O30)</f>
        <v>0</v>
      </c>
      <c r="P34" s="279">
        <f>SUM(P7:P33)</f>
        <v>12500.581170000001</v>
      </c>
      <c r="Q34" s="606">
        <f>SUM(Q7:Q30)</f>
        <v>11.712</v>
      </c>
      <c r="R34" s="607">
        <f>SUM(R7:R33)</f>
        <v>0.453</v>
      </c>
      <c r="S34" s="607">
        <f>SUM(S7:S33)</f>
        <v>2.717</v>
      </c>
      <c r="T34" s="608">
        <f>SUM(T7:T33)</f>
        <v>8.542000000000002</v>
      </c>
      <c r="U34" s="609">
        <f>SUM(U7:V33)</f>
        <v>0</v>
      </c>
      <c r="V34" s="441">
        <f>SUM(V7:V33)</f>
        <v>0</v>
      </c>
      <c r="W34" s="610">
        <f>SUM(W7:W33)</f>
        <v>1732</v>
      </c>
      <c r="X34" s="277">
        <f>Q34/C34*100</f>
        <v>12.150259873642275</v>
      </c>
      <c r="Z34" s="281">
        <f>SUM(Z7:Z33)</f>
        <v>7.93</v>
      </c>
    </row>
    <row r="35" spans="17:23" ht="15">
      <c r="Q35" s="246"/>
      <c r="R35" s="246"/>
      <c r="S35" s="246"/>
      <c r="T35" s="246"/>
      <c r="U35" s="246"/>
      <c r="V35" s="282"/>
      <c r="W35" s="282"/>
    </row>
  </sheetData>
  <sheetProtection/>
  <mergeCells count="20">
    <mergeCell ref="W5:W6"/>
    <mergeCell ref="Q4:W4"/>
    <mergeCell ref="X4:X6"/>
    <mergeCell ref="Z4:Z6"/>
    <mergeCell ref="C5:C6"/>
    <mergeCell ref="D5:H5"/>
    <mergeCell ref="I5:I6"/>
    <mergeCell ref="J5:N5"/>
    <mergeCell ref="O5:O6"/>
    <mergeCell ref="Q5:Q6"/>
    <mergeCell ref="R5:V5"/>
    <mergeCell ref="A1:E1"/>
    <mergeCell ref="O1:X1"/>
    <mergeCell ref="A2:E2"/>
    <mergeCell ref="O2:X2"/>
    <mergeCell ref="A4:A6"/>
    <mergeCell ref="B4:B6"/>
    <mergeCell ref="C4:H4"/>
    <mergeCell ref="I4:O4"/>
    <mergeCell ref="P4:P6"/>
  </mergeCells>
  <printOptions/>
  <pageMargins left="0.7086614173228347" right="0.43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O78"/>
  <sheetViews>
    <sheetView zoomScalePageLayoutView="0" workbookViewId="0" topLeftCell="A4">
      <selection activeCell="J23" sqref="J23"/>
    </sheetView>
  </sheetViews>
  <sheetFormatPr defaultColWidth="9.00390625" defaultRowHeight="15.75"/>
  <cols>
    <col min="1" max="1" width="3.375" style="0" bestFit="1" customWidth="1"/>
    <col min="2" max="2" width="14.00390625" style="0" customWidth="1"/>
    <col min="3" max="3" width="8.875" style="0" customWidth="1"/>
    <col min="4" max="4" width="8.375" style="0" customWidth="1"/>
    <col min="5" max="5" width="8.25390625" style="0" customWidth="1"/>
    <col min="6" max="6" width="7.875" style="0" customWidth="1"/>
    <col min="7" max="8" width="9.25390625" style="0" customWidth="1"/>
    <col min="9" max="9" width="11.00390625" style="0" customWidth="1"/>
    <col min="10" max="10" width="7.875" style="0" customWidth="1"/>
    <col min="11" max="11" width="7.625" style="0" customWidth="1"/>
    <col min="12" max="13" width="8.00390625" style="0" customWidth="1"/>
    <col min="14" max="14" width="10.00390625" style="0" customWidth="1"/>
  </cols>
  <sheetData>
    <row r="1" spans="1:9" ht="15.75" customHeight="1" hidden="1">
      <c r="A1" s="722" t="s">
        <v>192</v>
      </c>
      <c r="B1" s="722"/>
      <c r="C1" s="722"/>
      <c r="D1" s="722"/>
      <c r="E1" s="722"/>
      <c r="F1" s="722"/>
      <c r="G1" s="74"/>
      <c r="H1" s="74"/>
      <c r="I1" s="74"/>
    </row>
    <row r="2" spans="1:9" ht="16.5" customHeight="1" hidden="1">
      <c r="A2" s="722" t="s">
        <v>242</v>
      </c>
      <c r="B2" s="722"/>
      <c r="C2" s="722"/>
      <c r="D2" s="722"/>
      <c r="E2" s="722"/>
      <c r="F2" s="722"/>
      <c r="G2" s="74"/>
      <c r="H2" s="74"/>
      <c r="I2" s="74"/>
    </row>
    <row r="3" spans="1:9" ht="15.75" hidden="1">
      <c r="A3" s="74"/>
      <c r="B3" s="74"/>
      <c r="C3" s="74"/>
      <c r="D3" s="74"/>
      <c r="E3" s="74"/>
      <c r="F3" s="74"/>
      <c r="G3" s="74"/>
      <c r="H3" s="74"/>
      <c r="I3" s="74"/>
    </row>
    <row r="4" spans="1:14" s="284" customFormat="1" ht="15.75">
      <c r="A4" s="758" t="s">
        <v>243</v>
      </c>
      <c r="B4" s="758"/>
      <c r="C4" s="758"/>
      <c r="D4" s="758"/>
      <c r="E4" s="758"/>
      <c r="F4" s="73"/>
      <c r="G4" s="73"/>
      <c r="H4" s="73"/>
      <c r="I4" s="758" t="s">
        <v>1</v>
      </c>
      <c r="J4" s="758"/>
      <c r="K4" s="758"/>
      <c r="L4" s="758"/>
      <c r="M4" s="758"/>
      <c r="N4" s="758"/>
    </row>
    <row r="5" spans="1:14" s="284" customFormat="1" ht="15.75">
      <c r="A5" s="73"/>
      <c r="B5" s="73"/>
      <c r="C5" s="73"/>
      <c r="D5" s="73"/>
      <c r="E5" s="73"/>
      <c r="F5" s="73"/>
      <c r="G5" s="73"/>
      <c r="H5" s="73"/>
      <c r="I5" s="758" t="s">
        <v>101</v>
      </c>
      <c r="J5" s="758"/>
      <c r="K5" s="758"/>
      <c r="L5" s="758"/>
      <c r="M5" s="758"/>
      <c r="N5" s="758"/>
    </row>
    <row r="6" spans="1:14" ht="14.25" customHeight="1">
      <c r="A6" s="759"/>
      <c r="B6" s="759"/>
      <c r="C6" s="759"/>
      <c r="D6" s="759"/>
      <c r="E6" s="759"/>
      <c r="F6" s="759"/>
      <c r="G6" s="759"/>
      <c r="H6" s="759"/>
      <c r="I6" s="759"/>
      <c r="J6" s="759"/>
      <c r="K6" s="759"/>
      <c r="L6" s="759"/>
      <c r="M6" s="759"/>
      <c r="N6" s="759"/>
    </row>
    <row r="7" spans="1:9" ht="9" customHeight="1">
      <c r="A7" s="285"/>
      <c r="B7" s="286"/>
      <c r="C7" s="286"/>
      <c r="D7" s="286"/>
      <c r="E7" s="286"/>
      <c r="F7" s="286"/>
      <c r="G7" s="286"/>
      <c r="H7" s="286"/>
      <c r="I7" s="286"/>
    </row>
    <row r="8" spans="1:15" ht="18" customHeight="1">
      <c r="A8" s="761" t="s">
        <v>5</v>
      </c>
      <c r="B8" s="761" t="s">
        <v>244</v>
      </c>
      <c r="C8" s="718" t="s">
        <v>103</v>
      </c>
      <c r="D8" s="718"/>
      <c r="E8" s="718"/>
      <c r="F8" s="718"/>
      <c r="G8" s="718"/>
      <c r="H8" s="80"/>
      <c r="I8" s="719" t="s">
        <v>245</v>
      </c>
      <c r="J8" s="718" t="s">
        <v>462</v>
      </c>
      <c r="K8" s="718"/>
      <c r="L8" s="718"/>
      <c r="M8" s="718"/>
      <c r="N8" s="718"/>
      <c r="O8" s="719" t="s">
        <v>246</v>
      </c>
    </row>
    <row r="9" spans="1:15" ht="57">
      <c r="A9" s="762"/>
      <c r="B9" s="762"/>
      <c r="C9" s="288" t="s">
        <v>247</v>
      </c>
      <c r="D9" s="288" t="s">
        <v>158</v>
      </c>
      <c r="E9" s="83" t="s">
        <v>248</v>
      </c>
      <c r="F9" s="83" t="s">
        <v>249</v>
      </c>
      <c r="G9" s="83" t="s">
        <v>113</v>
      </c>
      <c r="H9" s="83"/>
      <c r="I9" s="720"/>
      <c r="J9" s="288" t="s">
        <v>247</v>
      </c>
      <c r="K9" s="288" t="s">
        <v>158</v>
      </c>
      <c r="L9" s="83" t="s">
        <v>248</v>
      </c>
      <c r="M9" s="83" t="s">
        <v>249</v>
      </c>
      <c r="N9" s="83" t="s">
        <v>113</v>
      </c>
      <c r="O9" s="720"/>
    </row>
    <row r="10" spans="1:15" s="293" customFormat="1" ht="25.5" customHeight="1">
      <c r="A10" s="289">
        <v>1</v>
      </c>
      <c r="B10" s="290" t="s">
        <v>250</v>
      </c>
      <c r="C10" s="291">
        <f>+D10+E10+F10+G10</f>
        <v>1.076</v>
      </c>
      <c r="D10" s="291">
        <v>0.176</v>
      </c>
      <c r="E10" s="291"/>
      <c r="F10" s="291"/>
      <c r="G10" s="291">
        <v>0.9</v>
      </c>
      <c r="H10" s="291"/>
      <c r="I10" s="292">
        <f>+D10*194.67+E10*173.04+F10*111.72+G10*111.72</f>
        <v>134.80992</v>
      </c>
      <c r="J10" s="292">
        <f>SUM(K10:N10)</f>
        <v>0</v>
      </c>
      <c r="K10" s="292"/>
      <c r="L10" s="292"/>
      <c r="M10" s="292"/>
      <c r="N10" s="292"/>
      <c r="O10" s="292"/>
    </row>
    <row r="11" spans="1:15" s="293" customFormat="1" ht="25.5" customHeight="1">
      <c r="A11" s="294">
        <v>2</v>
      </c>
      <c r="B11" s="295" t="s">
        <v>251</v>
      </c>
      <c r="C11" s="296">
        <f aca="true" t="shared" si="0" ref="C11:C18">+D11+E11+F11+G11</f>
        <v>4.26</v>
      </c>
      <c r="D11" s="296"/>
      <c r="E11" s="296">
        <f>0.33+0.37</f>
        <v>0.7</v>
      </c>
      <c r="F11" s="296">
        <f>0.26+0.25+0.3+0.2+0.26+0.12+0.25</f>
        <v>1.6400000000000001</v>
      </c>
      <c r="G11" s="296">
        <f>0.68+0.11+0.13+0.5+0.5</f>
        <v>1.92</v>
      </c>
      <c r="H11" s="296"/>
      <c r="I11" s="297">
        <f aca="true" t="shared" si="1" ref="I11:I18">+D11*194.67+E11*173.04+F11*111.72+G11*111.72</f>
        <v>518.8512</v>
      </c>
      <c r="J11" s="297">
        <f aca="true" t="shared" si="2" ref="J11:J22">SUM(K11:N11)</f>
        <v>0</v>
      </c>
      <c r="K11" s="297"/>
      <c r="L11" s="298"/>
      <c r="M11" s="298"/>
      <c r="N11" s="298"/>
      <c r="O11" s="298"/>
    </row>
    <row r="12" spans="1:15" s="293" customFormat="1" ht="25.5" customHeight="1">
      <c r="A12" s="294">
        <v>3</v>
      </c>
      <c r="B12" s="295" t="s">
        <v>252</v>
      </c>
      <c r="C12" s="296">
        <f t="shared" si="0"/>
        <v>6.7170000000000005</v>
      </c>
      <c r="D12" s="296"/>
      <c r="E12" s="296">
        <v>0.886</v>
      </c>
      <c r="F12" s="296">
        <v>2.95</v>
      </c>
      <c r="G12" s="296">
        <v>2.881</v>
      </c>
      <c r="H12" s="296"/>
      <c r="I12" s="297">
        <f t="shared" si="1"/>
        <v>804.75276</v>
      </c>
      <c r="J12" s="297">
        <f t="shared" si="2"/>
        <v>0</v>
      </c>
      <c r="K12" s="297"/>
      <c r="L12" s="298"/>
      <c r="M12" s="298"/>
      <c r="N12" s="298"/>
      <c r="O12" s="298"/>
    </row>
    <row r="13" spans="1:15" s="293" customFormat="1" ht="25.5" customHeight="1">
      <c r="A13" s="294">
        <v>4</v>
      </c>
      <c r="B13" s="295" t="s">
        <v>253</v>
      </c>
      <c r="C13" s="296">
        <f t="shared" si="0"/>
        <v>0.4</v>
      </c>
      <c r="D13" s="296"/>
      <c r="E13" s="296">
        <v>0.1</v>
      </c>
      <c r="F13" s="296">
        <v>0.3</v>
      </c>
      <c r="G13" s="296"/>
      <c r="H13" s="296"/>
      <c r="I13" s="297">
        <f t="shared" si="1"/>
        <v>50.81999999999999</v>
      </c>
      <c r="J13" s="297">
        <f t="shared" si="2"/>
        <v>0</v>
      </c>
      <c r="K13" s="297"/>
      <c r="L13" s="298"/>
      <c r="M13" s="298"/>
      <c r="N13" s="298"/>
      <c r="O13" s="298">
        <v>41</v>
      </c>
    </row>
    <row r="14" spans="1:15" s="293" customFormat="1" ht="25.5" customHeight="1">
      <c r="A14" s="294">
        <v>5</v>
      </c>
      <c r="B14" s="295" t="s">
        <v>254</v>
      </c>
      <c r="C14" s="296">
        <f t="shared" si="0"/>
        <v>2.0269999999999997</v>
      </c>
      <c r="D14" s="296">
        <v>0.095</v>
      </c>
      <c r="E14" s="296">
        <f>0.16+0.385+0.21+0.191+0.17+0.125</f>
        <v>1.2409999999999999</v>
      </c>
      <c r="F14" s="296">
        <f>0.09+0.05+0.045+0.06+0.124+0.11+0.07+0.105+0.037</f>
        <v>0.691</v>
      </c>
      <c r="G14" s="296"/>
      <c r="H14" s="296"/>
      <c r="I14" s="297">
        <f t="shared" si="1"/>
        <v>310.43480999999997</v>
      </c>
      <c r="J14" s="297">
        <f t="shared" si="2"/>
        <v>1.9469999999999998</v>
      </c>
      <c r="K14" s="297">
        <v>0.095</v>
      </c>
      <c r="L14" s="298">
        <v>1.4</v>
      </c>
      <c r="M14" s="298">
        <v>0.452</v>
      </c>
      <c r="N14" s="298"/>
      <c r="O14" s="298">
        <v>310</v>
      </c>
    </row>
    <row r="15" spans="1:15" s="293" customFormat="1" ht="25.5" customHeight="1">
      <c r="A15" s="294">
        <v>6</v>
      </c>
      <c r="B15" s="295" t="s">
        <v>255</v>
      </c>
      <c r="C15" s="296">
        <f t="shared" si="0"/>
        <v>5.343</v>
      </c>
      <c r="D15" s="296"/>
      <c r="E15" s="296">
        <f>0.04+0.2</f>
        <v>0.24000000000000002</v>
      </c>
      <c r="F15" s="296">
        <f>5.343-E15-G15</f>
        <v>3.8629999999999995</v>
      </c>
      <c r="G15" s="296">
        <f>0.3+0.94</f>
        <v>1.24</v>
      </c>
      <c r="H15" s="296"/>
      <c r="I15" s="297">
        <f t="shared" si="1"/>
        <v>611.63676</v>
      </c>
      <c r="J15" s="297">
        <f t="shared" si="2"/>
        <v>3.85</v>
      </c>
      <c r="K15" s="297"/>
      <c r="L15" s="298"/>
      <c r="M15" s="298">
        <v>3.85</v>
      </c>
      <c r="N15" s="298"/>
      <c r="O15" s="298">
        <v>456</v>
      </c>
    </row>
    <row r="16" spans="1:15" s="293" customFormat="1" ht="25.5" customHeight="1">
      <c r="A16" s="294">
        <v>7</v>
      </c>
      <c r="B16" s="295" t="s">
        <v>256</v>
      </c>
      <c r="C16" s="296">
        <f t="shared" si="0"/>
        <v>3.2100000000000004</v>
      </c>
      <c r="D16" s="296"/>
      <c r="E16" s="296">
        <f>0.3+0.76+0.42+0.35+0.17+0.43+0.15+0.1+0.08+0.45</f>
        <v>3.2100000000000004</v>
      </c>
      <c r="F16" s="296"/>
      <c r="G16" s="296"/>
      <c r="H16" s="296"/>
      <c r="I16" s="297">
        <f t="shared" si="1"/>
        <v>555.4584000000001</v>
      </c>
      <c r="J16" s="297">
        <f t="shared" si="2"/>
        <v>0.7</v>
      </c>
      <c r="K16" s="297"/>
      <c r="L16" s="298">
        <v>0.7</v>
      </c>
      <c r="M16" s="298"/>
      <c r="N16" s="298"/>
      <c r="O16" s="298">
        <v>134</v>
      </c>
    </row>
    <row r="17" spans="1:15" s="293" customFormat="1" ht="25.5" customHeight="1">
      <c r="A17" s="294">
        <v>8</v>
      </c>
      <c r="B17" s="295" t="s">
        <v>257</v>
      </c>
      <c r="C17" s="296">
        <f t="shared" si="0"/>
        <v>4.965999999999998</v>
      </c>
      <c r="D17" s="296"/>
      <c r="E17" s="296">
        <f>0.35+0.15+0.09</f>
        <v>0.59</v>
      </c>
      <c r="F17" s="296">
        <f>0.05+0.05+0.25+0.12+0.3+0.06+0.12+0.12+0.12+0.15+0.15+0.12+0.02+0.05+0.07+0.03+0.07+0.04+0.19+0.08+0.06+0.07+0.12+0.04+0.12+0.17+0.08+0.03+0.07+0.11+0.09+0.03+0.05+0.11+0.07+0.03+0.05+0.05+0.055+0.053+0.098+0.07+0.25+0.15+0.15+0.04</f>
        <v>4.375999999999999</v>
      </c>
      <c r="G17" s="296"/>
      <c r="H17" s="296"/>
      <c r="I17" s="297">
        <f t="shared" si="1"/>
        <v>590.9803199999999</v>
      </c>
      <c r="J17" s="297">
        <f t="shared" si="2"/>
        <v>1</v>
      </c>
      <c r="K17" s="297"/>
      <c r="L17" s="298"/>
      <c r="M17" s="298">
        <v>1</v>
      </c>
      <c r="N17" s="298"/>
      <c r="O17" s="298">
        <v>195</v>
      </c>
    </row>
    <row r="18" spans="1:15" s="293" customFormat="1" ht="25.5" customHeight="1">
      <c r="A18" s="294">
        <v>9</v>
      </c>
      <c r="B18" s="295" t="s">
        <v>258</v>
      </c>
      <c r="C18" s="296">
        <f t="shared" si="0"/>
        <v>2.7379999999999995</v>
      </c>
      <c r="D18" s="296"/>
      <c r="E18" s="296">
        <f>0.285+0.111+0.21+0.17+0.3</f>
        <v>1.076</v>
      </c>
      <c r="F18" s="296">
        <f>0.3+0.21+0.065+0.36+0.377+0.2+0.15</f>
        <v>1.6619999999999997</v>
      </c>
      <c r="G18" s="296"/>
      <c r="H18" s="296"/>
      <c r="I18" s="297">
        <f t="shared" si="1"/>
        <v>371.86968</v>
      </c>
      <c r="J18" s="297">
        <f t="shared" si="2"/>
        <v>1.5</v>
      </c>
      <c r="K18" s="297"/>
      <c r="L18" s="298">
        <v>0.5</v>
      </c>
      <c r="M18" s="298">
        <v>1</v>
      </c>
      <c r="N18" s="298"/>
      <c r="O18" s="298">
        <v>213</v>
      </c>
    </row>
    <row r="19" spans="1:15" s="293" customFormat="1" ht="25.5" customHeight="1">
      <c r="A19" s="294">
        <v>10</v>
      </c>
      <c r="B19" s="295" t="s">
        <v>259</v>
      </c>
      <c r="C19" s="296">
        <f>+D19+E19+F19+G19</f>
        <v>0.5</v>
      </c>
      <c r="D19" s="296"/>
      <c r="E19" s="296"/>
      <c r="F19" s="296"/>
      <c r="G19" s="296">
        <v>0.5</v>
      </c>
      <c r="H19" s="296"/>
      <c r="I19" s="297">
        <f>+D19*194.67+E19*173.04+F19*111.72+G19*111.72</f>
        <v>55.86</v>
      </c>
      <c r="J19" s="297">
        <f t="shared" si="2"/>
        <v>0</v>
      </c>
      <c r="K19" s="297"/>
      <c r="L19" s="298"/>
      <c r="M19" s="298"/>
      <c r="N19" s="298"/>
      <c r="O19" s="298"/>
    </row>
    <row r="20" spans="1:15" s="293" customFormat="1" ht="25.5" customHeight="1">
      <c r="A20" s="294">
        <v>11</v>
      </c>
      <c r="B20" s="295" t="s">
        <v>260</v>
      </c>
      <c r="C20" s="296">
        <f>+D20+E20+F20+G20</f>
        <v>20.637999999999998</v>
      </c>
      <c r="D20" s="296"/>
      <c r="E20" s="296">
        <f>0.5+0.3+0.35+0.6+0.2+0.55+0.6+0.37+0.37+0.325+0.325+0.47+0.35+0.15+0.35+0.55+0.2</f>
        <v>6.56</v>
      </c>
      <c r="F20" s="296">
        <f>0.39+0.2+0.25+0.025+0.025+0.05+0.025+0.245+0.3+0.6+0.27+0.115+0.08+0.183+0.12+0.09+0.2+0.15+0.35+0.125</f>
        <v>3.7930000000000006</v>
      </c>
      <c r="G20" s="296">
        <f>1.86+1.3+1.8+2.2+2.625+0.5</f>
        <v>10.285</v>
      </c>
      <c r="H20" s="296"/>
      <c r="I20" s="297">
        <f>+D20*194.67+E20*173.04+F20*111.72+G20*111.72</f>
        <v>2707.93656</v>
      </c>
      <c r="J20" s="297">
        <f t="shared" si="2"/>
        <v>2.5</v>
      </c>
      <c r="K20" s="297"/>
      <c r="L20" s="298">
        <v>0.7</v>
      </c>
      <c r="M20" s="298">
        <v>1.8</v>
      </c>
      <c r="N20" s="298"/>
      <c r="O20" s="298">
        <v>680</v>
      </c>
    </row>
    <row r="21" spans="1:15" s="293" customFormat="1" ht="25.5" customHeight="1">
      <c r="A21" s="294">
        <v>12</v>
      </c>
      <c r="B21" s="295" t="s">
        <v>261</v>
      </c>
      <c r="C21" s="296">
        <f>+D21+E21+F21+G21</f>
        <v>9.885</v>
      </c>
      <c r="D21" s="296"/>
      <c r="E21" s="296"/>
      <c r="F21" s="296">
        <v>9.885</v>
      </c>
      <c r="G21" s="296"/>
      <c r="H21" s="296"/>
      <c r="I21" s="297">
        <f>+D21*194.67+E21*173.04+F21*111.72+G21*111.72</f>
        <v>1104.3522</v>
      </c>
      <c r="J21" s="297">
        <f t="shared" si="2"/>
        <v>0.9</v>
      </c>
      <c r="K21" s="297"/>
      <c r="L21" s="298"/>
      <c r="M21" s="298">
        <v>0.9</v>
      </c>
      <c r="N21" s="298"/>
      <c r="O21" s="298">
        <v>208</v>
      </c>
    </row>
    <row r="22" spans="1:15" s="293" customFormat="1" ht="25.5" customHeight="1">
      <c r="A22" s="299">
        <v>13</v>
      </c>
      <c r="B22" s="300" t="s">
        <v>262</v>
      </c>
      <c r="C22" s="301">
        <f>+D22+E22+F22+G22</f>
        <v>7.9</v>
      </c>
      <c r="D22" s="301"/>
      <c r="E22" s="301">
        <f>0.43+0.2+0.2</f>
        <v>0.8300000000000001</v>
      </c>
      <c r="F22" s="301">
        <f>0.263+0.23+0.2+0.25+0.3+0.35+0.2+0.15+0.2+0.2+0.2+0.1+0.2</f>
        <v>2.8430000000000004</v>
      </c>
      <c r="G22" s="301">
        <f>0.255+0.432+0.285+0.2+0.2+0.2+0.445+0.25+0.3+0.25+0.66+0.5+0.25</f>
        <v>4.227</v>
      </c>
      <c r="H22" s="301"/>
      <c r="I22" s="302">
        <f>+D22*194.67+E22*173.04+F22*111.72+G22*111.72</f>
        <v>933.4836</v>
      </c>
      <c r="J22" s="302">
        <f t="shared" si="2"/>
        <v>4.4</v>
      </c>
      <c r="K22" s="302"/>
      <c r="L22" s="303"/>
      <c r="M22" s="303"/>
      <c r="N22" s="303">
        <v>4.4</v>
      </c>
      <c r="O22" s="303">
        <v>499.9</v>
      </c>
    </row>
    <row r="23" spans="1:15" s="293" customFormat="1" ht="25.5" customHeight="1">
      <c r="A23" s="760" t="s">
        <v>185</v>
      </c>
      <c r="B23" s="760"/>
      <c r="C23" s="304">
        <f>SUM(C10:C22)</f>
        <v>69.66</v>
      </c>
      <c r="D23" s="304">
        <f aca="true" t="shared" si="3" ref="D23:I23">SUM(D10:D22)</f>
        <v>0.271</v>
      </c>
      <c r="E23" s="304">
        <f t="shared" si="3"/>
        <v>15.433000000000002</v>
      </c>
      <c r="F23" s="304">
        <f t="shared" si="3"/>
        <v>32.003</v>
      </c>
      <c r="G23" s="304">
        <f t="shared" si="3"/>
        <v>21.953</v>
      </c>
      <c r="H23" s="304"/>
      <c r="I23" s="305">
        <f t="shared" si="3"/>
        <v>8751.246210000001</v>
      </c>
      <c r="J23" s="305">
        <f aca="true" t="shared" si="4" ref="J23:O23">+SUM(J10:J22)</f>
        <v>16.797</v>
      </c>
      <c r="K23" s="305">
        <f t="shared" si="4"/>
        <v>0.095</v>
      </c>
      <c r="L23" s="305">
        <f t="shared" si="4"/>
        <v>3.3</v>
      </c>
      <c r="M23" s="305">
        <f t="shared" si="4"/>
        <v>9.002</v>
      </c>
      <c r="N23" s="305">
        <f t="shared" si="4"/>
        <v>4.4</v>
      </c>
      <c r="O23" s="306">
        <f t="shared" si="4"/>
        <v>2736.9</v>
      </c>
    </row>
    <row r="24" spans="1:9" s="307" customFormat="1" ht="15.75">
      <c r="A24" s="73"/>
      <c r="B24" s="73"/>
      <c r="C24" s="73"/>
      <c r="D24" s="73"/>
      <c r="E24" s="73"/>
      <c r="F24" s="73"/>
      <c r="G24" s="73"/>
      <c r="H24" s="73"/>
      <c r="I24" s="73"/>
    </row>
    <row r="25" spans="1:9" s="307" customFormat="1" ht="15.75">
      <c r="A25" s="722"/>
      <c r="B25" s="722"/>
      <c r="C25" s="722"/>
      <c r="D25" s="722"/>
      <c r="E25" s="722"/>
      <c r="F25" s="722"/>
      <c r="G25" s="722"/>
      <c r="H25" s="722"/>
      <c r="I25" s="722"/>
    </row>
    <row r="26" spans="1:9" s="307" customFormat="1" ht="15.75">
      <c r="A26" s="73"/>
      <c r="B26" s="73"/>
      <c r="C26" s="73"/>
      <c r="D26" s="73"/>
      <c r="E26" s="73"/>
      <c r="F26" s="308"/>
      <c r="G26" s="73"/>
      <c r="H26" s="73"/>
      <c r="I26" s="309"/>
    </row>
    <row r="27" spans="1:9" s="307" customFormat="1" ht="15.75">
      <c r="A27" s="73"/>
      <c r="B27" s="106"/>
      <c r="C27" s="106"/>
      <c r="D27" s="106"/>
      <c r="E27" s="310"/>
      <c r="F27" s="106"/>
      <c r="G27" s="310"/>
      <c r="H27" s="310"/>
      <c r="I27" s="310"/>
    </row>
    <row r="28" spans="1:9" s="307" customFormat="1" ht="15.75">
      <c r="A28" s="73"/>
      <c r="B28" s="106"/>
      <c r="C28" s="106"/>
      <c r="D28" s="106"/>
      <c r="E28" s="310"/>
      <c r="F28" s="106"/>
      <c r="G28" s="310"/>
      <c r="H28" s="310"/>
      <c r="I28" s="310"/>
    </row>
    <row r="29" spans="1:9" s="307" customFormat="1" ht="15.75">
      <c r="A29" s="73"/>
      <c r="B29" s="106"/>
      <c r="C29" s="106"/>
      <c r="D29" s="106"/>
      <c r="E29" s="310"/>
      <c r="F29" s="106"/>
      <c r="G29" s="310"/>
      <c r="H29" s="310"/>
      <c r="I29" s="310"/>
    </row>
    <row r="30" spans="1:9" s="307" customFormat="1" ht="15.75">
      <c r="A30" s="73"/>
      <c r="B30" s="73"/>
      <c r="C30" s="73"/>
      <c r="D30" s="73"/>
      <c r="E30" s="311"/>
      <c r="F30" s="73"/>
      <c r="G30" s="73"/>
      <c r="H30" s="73"/>
      <c r="I30" s="311"/>
    </row>
    <row r="31" spans="1:9" s="307" customFormat="1" ht="15.75">
      <c r="A31" s="73"/>
      <c r="B31" s="73"/>
      <c r="C31" s="73"/>
      <c r="D31" s="73"/>
      <c r="E31" s="73"/>
      <c r="F31" s="73"/>
      <c r="G31" s="73"/>
      <c r="H31" s="73"/>
      <c r="I31" s="311"/>
    </row>
    <row r="32" spans="1:9" s="307" customFormat="1" ht="12.75">
      <c r="A32" s="74"/>
      <c r="B32" s="74"/>
      <c r="C32" s="74"/>
      <c r="D32" s="74"/>
      <c r="E32" s="74"/>
      <c r="F32" s="74"/>
      <c r="G32" s="74"/>
      <c r="H32" s="74"/>
      <c r="I32" s="74"/>
    </row>
    <row r="33" spans="1:9" s="307" customFormat="1" ht="12.75">
      <c r="A33" s="74"/>
      <c r="B33" s="74"/>
      <c r="C33" s="74"/>
      <c r="D33" s="74"/>
      <c r="E33" s="74"/>
      <c r="F33" s="74"/>
      <c r="G33" s="74"/>
      <c r="H33" s="74"/>
      <c r="I33" s="74"/>
    </row>
    <row r="34" spans="1:9" s="307" customFormat="1" ht="12.75">
      <c r="A34" s="74"/>
      <c r="B34" s="74"/>
      <c r="C34" s="74"/>
      <c r="D34" s="74"/>
      <c r="E34" s="74"/>
      <c r="F34" s="74"/>
      <c r="G34" s="74"/>
      <c r="H34" s="74"/>
      <c r="I34" s="312"/>
    </row>
    <row r="35" spans="1:9" s="307" customFormat="1" ht="12.75">
      <c r="A35" s="74"/>
      <c r="B35" s="74"/>
      <c r="C35" s="74"/>
      <c r="D35" s="74"/>
      <c r="E35" s="74"/>
      <c r="F35" s="74"/>
      <c r="G35" s="74"/>
      <c r="H35" s="74"/>
      <c r="I35" s="74"/>
    </row>
    <row r="36" spans="1:9" s="307" customFormat="1" ht="12.75">
      <c r="A36" s="74"/>
      <c r="B36" s="74"/>
      <c r="C36" s="74"/>
      <c r="D36" s="74"/>
      <c r="E36" s="74"/>
      <c r="F36" s="74"/>
      <c r="G36" s="74"/>
      <c r="H36" s="74"/>
      <c r="I36" s="74"/>
    </row>
    <row r="37" spans="1:9" s="307" customFormat="1" ht="12.75">
      <c r="A37" s="74"/>
      <c r="B37" s="74"/>
      <c r="C37" s="74"/>
      <c r="D37" s="74"/>
      <c r="E37" s="74"/>
      <c r="F37" s="74"/>
      <c r="G37" s="74"/>
      <c r="H37" s="74"/>
      <c r="I37" s="74"/>
    </row>
    <row r="38" spans="1:9" s="307" customFormat="1" ht="12.75">
      <c r="A38" s="74"/>
      <c r="B38" s="74"/>
      <c r="C38" s="74"/>
      <c r="D38" s="74"/>
      <c r="E38" s="74"/>
      <c r="F38" s="74"/>
      <c r="G38" s="74"/>
      <c r="H38" s="74"/>
      <c r="I38" s="74"/>
    </row>
    <row r="39" spans="1:9" s="307" customFormat="1" ht="12.75">
      <c r="A39" s="74"/>
      <c r="B39" s="74"/>
      <c r="C39" s="74"/>
      <c r="D39" s="74"/>
      <c r="E39" s="74"/>
      <c r="F39" s="74"/>
      <c r="G39" s="74"/>
      <c r="H39" s="74"/>
      <c r="I39" s="74"/>
    </row>
    <row r="40" spans="1:9" s="307" customFormat="1" ht="12.75">
      <c r="A40" s="74"/>
      <c r="B40" s="74"/>
      <c r="C40" s="74"/>
      <c r="D40" s="74"/>
      <c r="E40" s="74"/>
      <c r="F40" s="74"/>
      <c r="G40" s="74"/>
      <c r="H40" s="74"/>
      <c r="I40" s="74"/>
    </row>
    <row r="41" spans="1:9" s="307" customFormat="1" ht="12.75">
      <c r="A41" s="74"/>
      <c r="B41" s="74"/>
      <c r="C41" s="74"/>
      <c r="D41" s="74"/>
      <c r="E41" s="74"/>
      <c r="F41" s="74"/>
      <c r="G41" s="74"/>
      <c r="H41" s="74"/>
      <c r="I41" s="74"/>
    </row>
    <row r="42" spans="1:9" ht="15.75">
      <c r="A42" s="74"/>
      <c r="B42" s="74"/>
      <c r="C42" s="74"/>
      <c r="D42" s="74"/>
      <c r="E42" s="74"/>
      <c r="F42" s="74"/>
      <c r="G42" s="74"/>
      <c r="H42" s="74"/>
      <c r="I42" s="74"/>
    </row>
    <row r="43" spans="1:9" ht="15.75">
      <c r="A43" s="74"/>
      <c r="B43" s="74"/>
      <c r="C43" s="74"/>
      <c r="D43" s="74"/>
      <c r="E43" s="74"/>
      <c r="F43" s="74"/>
      <c r="G43" s="74"/>
      <c r="H43" s="74"/>
      <c r="I43" s="74"/>
    </row>
    <row r="44" spans="1:9" ht="15.75">
      <c r="A44" s="74"/>
      <c r="B44" s="74"/>
      <c r="C44" s="74"/>
      <c r="D44" s="74"/>
      <c r="E44" s="74"/>
      <c r="F44" s="74"/>
      <c r="G44" s="74"/>
      <c r="H44" s="74"/>
      <c r="I44" s="74"/>
    </row>
    <row r="45" spans="1:9" ht="15.75">
      <c r="A45" s="74"/>
      <c r="B45" s="74"/>
      <c r="C45" s="74"/>
      <c r="D45" s="74"/>
      <c r="E45" s="74"/>
      <c r="F45" s="74"/>
      <c r="G45" s="74"/>
      <c r="H45" s="74"/>
      <c r="I45" s="74"/>
    </row>
    <row r="46" spans="1:9" ht="15.75">
      <c r="A46" s="74"/>
      <c r="B46" s="74"/>
      <c r="C46" s="74"/>
      <c r="D46" s="74"/>
      <c r="E46" s="74"/>
      <c r="F46" s="74"/>
      <c r="G46" s="74"/>
      <c r="H46" s="74"/>
      <c r="I46" s="74"/>
    </row>
    <row r="47" spans="1:9" ht="15.75">
      <c r="A47" s="74"/>
      <c r="B47" s="74"/>
      <c r="C47" s="74"/>
      <c r="D47" s="74"/>
      <c r="E47" s="74"/>
      <c r="F47" s="74"/>
      <c r="G47" s="74"/>
      <c r="H47" s="74"/>
      <c r="I47" s="74"/>
    </row>
    <row r="48" spans="1:9" ht="15.75">
      <c r="A48" s="74"/>
      <c r="B48" s="74"/>
      <c r="C48" s="74"/>
      <c r="D48" s="74"/>
      <c r="E48" s="74"/>
      <c r="F48" s="74"/>
      <c r="G48" s="74"/>
      <c r="H48" s="74"/>
      <c r="I48" s="74"/>
    </row>
    <row r="49" spans="1:9" ht="15.75">
      <c r="A49" s="74"/>
      <c r="B49" s="74"/>
      <c r="C49" s="74"/>
      <c r="D49" s="74"/>
      <c r="E49" s="74"/>
      <c r="F49" s="74"/>
      <c r="G49" s="74"/>
      <c r="H49" s="74"/>
      <c r="I49" s="74"/>
    </row>
    <row r="50" spans="1:9" ht="15.75">
      <c r="A50" s="74"/>
      <c r="B50" s="74"/>
      <c r="C50" s="74"/>
      <c r="D50" s="74"/>
      <c r="E50" s="74"/>
      <c r="F50" s="74"/>
      <c r="G50" s="74"/>
      <c r="H50" s="74"/>
      <c r="I50" s="74"/>
    </row>
    <row r="51" spans="1:9" ht="15.75">
      <c r="A51" s="74"/>
      <c r="B51" s="74"/>
      <c r="C51" s="74"/>
      <c r="D51" s="74"/>
      <c r="E51" s="74"/>
      <c r="F51" s="74"/>
      <c r="G51" s="74"/>
      <c r="H51" s="74"/>
      <c r="I51" s="74"/>
    </row>
    <row r="52" spans="1:9" ht="15.75">
      <c r="A52" s="74"/>
      <c r="B52" s="74"/>
      <c r="C52" s="74"/>
      <c r="D52" s="74"/>
      <c r="E52" s="74"/>
      <c r="F52" s="74"/>
      <c r="G52" s="74"/>
      <c r="H52" s="74"/>
      <c r="I52" s="74"/>
    </row>
    <row r="53" spans="1:9" ht="15.75">
      <c r="A53" s="74"/>
      <c r="B53" s="74"/>
      <c r="C53" s="74"/>
      <c r="D53" s="74"/>
      <c r="E53" s="74"/>
      <c r="F53" s="74"/>
      <c r="G53" s="74"/>
      <c r="H53" s="74"/>
      <c r="I53" s="74"/>
    </row>
    <row r="54" spans="1:9" ht="15.75">
      <c r="A54" s="74"/>
      <c r="B54" s="74"/>
      <c r="C54" s="74"/>
      <c r="D54" s="74"/>
      <c r="E54" s="74"/>
      <c r="F54" s="74"/>
      <c r="G54" s="74"/>
      <c r="H54" s="74"/>
      <c r="I54" s="74"/>
    </row>
    <row r="55" spans="1:9" ht="15.75">
      <c r="A55" s="74"/>
      <c r="B55" s="74"/>
      <c r="C55" s="74"/>
      <c r="D55" s="74"/>
      <c r="E55" s="74"/>
      <c r="F55" s="74"/>
      <c r="G55" s="74"/>
      <c r="H55" s="74"/>
      <c r="I55" s="74"/>
    </row>
    <row r="56" spans="1:9" ht="15.75">
      <c r="A56" s="74"/>
      <c r="B56" s="74"/>
      <c r="C56" s="74"/>
      <c r="D56" s="74"/>
      <c r="E56" s="74"/>
      <c r="F56" s="74"/>
      <c r="G56" s="74"/>
      <c r="H56" s="74"/>
      <c r="I56" s="74"/>
    </row>
    <row r="57" spans="1:9" ht="15.75">
      <c r="A57" s="74"/>
      <c r="B57" s="74"/>
      <c r="C57" s="74"/>
      <c r="D57" s="74"/>
      <c r="E57" s="74"/>
      <c r="F57" s="74"/>
      <c r="G57" s="74"/>
      <c r="H57" s="74"/>
      <c r="I57" s="74"/>
    </row>
    <row r="58" spans="1:9" ht="15.75">
      <c r="A58" s="74"/>
      <c r="B58" s="74"/>
      <c r="C58" s="74"/>
      <c r="D58" s="74"/>
      <c r="E58" s="74"/>
      <c r="F58" s="74"/>
      <c r="G58" s="74"/>
      <c r="H58" s="74"/>
      <c r="I58" s="74"/>
    </row>
    <row r="59" spans="1:9" ht="15.75">
      <c r="A59" s="74"/>
      <c r="B59" s="74"/>
      <c r="C59" s="74"/>
      <c r="D59" s="74"/>
      <c r="E59" s="74"/>
      <c r="F59" s="74"/>
      <c r="G59" s="74"/>
      <c r="H59" s="74"/>
      <c r="I59" s="74"/>
    </row>
    <row r="60" spans="1:9" ht="15.75">
      <c r="A60" s="74"/>
      <c r="B60" s="74"/>
      <c r="C60" s="74"/>
      <c r="D60" s="74"/>
      <c r="E60" s="74"/>
      <c r="F60" s="74"/>
      <c r="G60" s="74"/>
      <c r="H60" s="74"/>
      <c r="I60" s="74"/>
    </row>
    <row r="61" spans="1:9" ht="15.75">
      <c r="A61" s="74"/>
      <c r="B61" s="74"/>
      <c r="C61" s="74"/>
      <c r="D61" s="74"/>
      <c r="E61" s="74"/>
      <c r="F61" s="74"/>
      <c r="G61" s="74"/>
      <c r="H61" s="74"/>
      <c r="I61" s="74"/>
    </row>
    <row r="62" spans="1:9" ht="15.75">
      <c r="A62" s="74"/>
      <c r="B62" s="74"/>
      <c r="C62" s="74"/>
      <c r="D62" s="74"/>
      <c r="E62" s="74"/>
      <c r="F62" s="74"/>
      <c r="G62" s="74"/>
      <c r="H62" s="74"/>
      <c r="I62" s="74"/>
    </row>
    <row r="63" spans="1:9" ht="15.75">
      <c r="A63" s="74"/>
      <c r="B63" s="74"/>
      <c r="C63" s="74"/>
      <c r="D63" s="74"/>
      <c r="E63" s="74"/>
      <c r="F63" s="74"/>
      <c r="G63" s="74"/>
      <c r="H63" s="74"/>
      <c r="I63" s="74"/>
    </row>
    <row r="64" spans="1:9" ht="15.75">
      <c r="A64" s="74"/>
      <c r="B64" s="74"/>
      <c r="C64" s="74"/>
      <c r="D64" s="74"/>
      <c r="E64" s="74"/>
      <c r="F64" s="74"/>
      <c r="G64" s="74"/>
      <c r="H64" s="74"/>
      <c r="I64" s="74"/>
    </row>
    <row r="65" spans="1:9" ht="15.75">
      <c r="A65" s="74"/>
      <c r="B65" s="74"/>
      <c r="C65" s="74"/>
      <c r="D65" s="74"/>
      <c r="E65" s="74"/>
      <c r="F65" s="74"/>
      <c r="G65" s="74"/>
      <c r="H65" s="74"/>
      <c r="I65" s="74"/>
    </row>
    <row r="66" spans="1:9" ht="15.75">
      <c r="A66" s="74"/>
      <c r="B66" s="74"/>
      <c r="C66" s="74"/>
      <c r="D66" s="74"/>
      <c r="E66" s="74"/>
      <c r="F66" s="74"/>
      <c r="G66" s="74"/>
      <c r="H66" s="74"/>
      <c r="I66" s="74"/>
    </row>
    <row r="67" spans="1:9" ht="15.75">
      <c r="A67" s="74"/>
      <c r="B67" s="74"/>
      <c r="C67" s="74"/>
      <c r="D67" s="74"/>
      <c r="E67" s="74"/>
      <c r="F67" s="74"/>
      <c r="G67" s="74"/>
      <c r="H67" s="74"/>
      <c r="I67" s="74"/>
    </row>
    <row r="68" spans="1:9" ht="15.75">
      <c r="A68" s="74"/>
      <c r="B68" s="74"/>
      <c r="C68" s="74"/>
      <c r="D68" s="74"/>
      <c r="E68" s="74"/>
      <c r="F68" s="74"/>
      <c r="G68" s="74"/>
      <c r="H68" s="74"/>
      <c r="I68" s="74"/>
    </row>
    <row r="69" spans="1:9" ht="15.75">
      <c r="A69" s="74"/>
      <c r="B69" s="74"/>
      <c r="C69" s="74"/>
      <c r="D69" s="74"/>
      <c r="E69" s="74"/>
      <c r="F69" s="74"/>
      <c r="G69" s="74"/>
      <c r="H69" s="74"/>
      <c r="I69" s="74"/>
    </row>
    <row r="70" spans="1:9" ht="15.75">
      <c r="A70" s="74"/>
      <c r="B70" s="74"/>
      <c r="C70" s="74"/>
      <c r="D70" s="74"/>
      <c r="E70" s="74"/>
      <c r="F70" s="74"/>
      <c r="G70" s="74"/>
      <c r="H70" s="74"/>
      <c r="I70" s="74"/>
    </row>
    <row r="71" spans="1:9" ht="15.75">
      <c r="A71" s="74"/>
      <c r="B71" s="74"/>
      <c r="C71" s="74"/>
      <c r="D71" s="74"/>
      <c r="E71" s="74"/>
      <c r="F71" s="74"/>
      <c r="G71" s="74"/>
      <c r="H71" s="74"/>
      <c r="I71" s="74"/>
    </row>
    <row r="72" spans="1:9" ht="15.75">
      <c r="A72" s="74"/>
      <c r="B72" s="74"/>
      <c r="C72" s="74"/>
      <c r="D72" s="74"/>
      <c r="E72" s="74"/>
      <c r="F72" s="74"/>
      <c r="G72" s="74"/>
      <c r="H72" s="74"/>
      <c r="I72" s="74"/>
    </row>
    <row r="73" spans="1:9" ht="15.75">
      <c r="A73" s="74"/>
      <c r="B73" s="74"/>
      <c r="C73" s="74"/>
      <c r="D73" s="74"/>
      <c r="E73" s="74"/>
      <c r="F73" s="74"/>
      <c r="G73" s="74"/>
      <c r="H73" s="74"/>
      <c r="I73" s="74"/>
    </row>
    <row r="74" spans="1:9" ht="15.75">
      <c r="A74" s="74"/>
      <c r="B74" s="74"/>
      <c r="C74" s="74"/>
      <c r="D74" s="74"/>
      <c r="E74" s="74"/>
      <c r="F74" s="74"/>
      <c r="G74" s="74"/>
      <c r="H74" s="74"/>
      <c r="I74" s="74"/>
    </row>
    <row r="75" spans="1:9" ht="15.75">
      <c r="A75" s="74"/>
      <c r="B75" s="74"/>
      <c r="C75" s="74"/>
      <c r="D75" s="74"/>
      <c r="E75" s="74"/>
      <c r="F75" s="74"/>
      <c r="G75" s="74"/>
      <c r="H75" s="74"/>
      <c r="I75" s="74"/>
    </row>
    <row r="76" spans="1:9" ht="15.75">
      <c r="A76" s="74"/>
      <c r="B76" s="74"/>
      <c r="C76" s="74"/>
      <c r="D76" s="74"/>
      <c r="E76" s="74"/>
      <c r="F76" s="74"/>
      <c r="G76" s="74"/>
      <c r="H76" s="74"/>
      <c r="I76" s="74"/>
    </row>
    <row r="77" spans="1:9" ht="15.75">
      <c r="A77" s="74"/>
      <c r="B77" s="74"/>
      <c r="C77" s="74"/>
      <c r="D77" s="74"/>
      <c r="E77" s="74"/>
      <c r="F77" s="74"/>
      <c r="G77" s="74"/>
      <c r="H77" s="74"/>
      <c r="I77" s="74"/>
    </row>
    <row r="78" spans="1:9" ht="15.75">
      <c r="A78" s="74"/>
      <c r="B78" s="74"/>
      <c r="C78" s="74"/>
      <c r="D78" s="74"/>
      <c r="E78" s="74"/>
      <c r="F78" s="74"/>
      <c r="G78" s="74"/>
      <c r="H78" s="74"/>
      <c r="I78" s="74"/>
    </row>
  </sheetData>
  <sheetProtection/>
  <mergeCells count="14">
    <mergeCell ref="A23:B23"/>
    <mergeCell ref="A25:I25"/>
    <mergeCell ref="A8:A9"/>
    <mergeCell ref="B8:B9"/>
    <mergeCell ref="C8:G8"/>
    <mergeCell ref="I8:I9"/>
    <mergeCell ref="J8:N8"/>
    <mergeCell ref="O8:O9"/>
    <mergeCell ref="A1:F1"/>
    <mergeCell ref="A2:F2"/>
    <mergeCell ref="A4:E4"/>
    <mergeCell ref="I4:N4"/>
    <mergeCell ref="I5:N5"/>
    <mergeCell ref="A6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Q29"/>
  <sheetViews>
    <sheetView zoomScalePageLayoutView="0" workbookViewId="0" topLeftCell="A1">
      <selection activeCell="F14" sqref="F14"/>
    </sheetView>
  </sheetViews>
  <sheetFormatPr defaultColWidth="9.00390625" defaultRowHeight="15.75"/>
  <cols>
    <col min="1" max="1" width="3.75390625" style="73" customWidth="1"/>
    <col min="2" max="2" width="14.75390625" style="73" customWidth="1"/>
    <col min="3" max="3" width="6.25390625" style="73" customWidth="1"/>
    <col min="4" max="4" width="6.875" style="73" customWidth="1"/>
    <col min="5" max="5" width="6.75390625" style="73" customWidth="1"/>
    <col min="6" max="6" width="7.125" style="73" customWidth="1"/>
    <col min="7" max="7" width="6.625" style="73" customWidth="1"/>
    <col min="8" max="8" width="8.25390625" style="73" customWidth="1"/>
    <col min="9" max="9" width="8.25390625" style="73" hidden="1" customWidth="1"/>
    <col min="10" max="10" width="7.875" style="73" hidden="1" customWidth="1"/>
    <col min="11" max="11" width="9.50390625" style="73" hidden="1" customWidth="1"/>
    <col min="12" max="13" width="8.00390625" style="73" hidden="1" customWidth="1"/>
    <col min="14" max="14" width="8.50390625" style="73" hidden="1" customWidth="1"/>
    <col min="15" max="15" width="9.625" style="73" hidden="1" customWidth="1"/>
    <col min="16" max="16" width="9.25390625" style="73" hidden="1" customWidth="1"/>
    <col min="17" max="17" width="8.00390625" style="73" hidden="1" customWidth="1"/>
    <col min="18" max="18" width="8.75390625" style="73" hidden="1" customWidth="1"/>
    <col min="19" max="19" width="10.125" style="73" hidden="1" customWidth="1"/>
    <col min="20" max="20" width="8.875" style="73" hidden="1" customWidth="1"/>
    <col min="21" max="21" width="7.875" style="73" hidden="1" customWidth="1"/>
    <col min="22" max="28" width="9.00390625" style="73" customWidth="1"/>
    <col min="29" max="42" width="0" style="73" hidden="1" customWidth="1"/>
    <col min="43" max="16384" width="9.00390625" style="73" customWidth="1"/>
  </cols>
  <sheetData>
    <row r="1" spans="1:28" s="3" customFormat="1" ht="15.75">
      <c r="A1" s="763" t="s">
        <v>0</v>
      </c>
      <c r="B1" s="763"/>
      <c r="C1" s="763"/>
      <c r="D1" s="763"/>
      <c r="E1" s="763"/>
      <c r="F1" s="763"/>
      <c r="G1" s="763"/>
      <c r="H1" s="763"/>
      <c r="I1" s="763"/>
      <c r="J1" s="1"/>
      <c r="K1" s="2"/>
      <c r="L1" s="2"/>
      <c r="M1" s="763" t="s">
        <v>1</v>
      </c>
      <c r="N1" s="763"/>
      <c r="O1" s="763"/>
      <c r="P1" s="763"/>
      <c r="Q1" s="763"/>
      <c r="W1" s="764" t="s">
        <v>1</v>
      </c>
      <c r="X1" s="764"/>
      <c r="Y1" s="764"/>
      <c r="Z1" s="764"/>
      <c r="AA1" s="764"/>
      <c r="AB1" s="764"/>
    </row>
    <row r="2" spans="1:28" s="3" customFormat="1" ht="15.75">
      <c r="A2" s="763" t="s">
        <v>263</v>
      </c>
      <c r="B2" s="763"/>
      <c r="C2" s="763"/>
      <c r="D2" s="763"/>
      <c r="E2" s="763"/>
      <c r="F2" s="763"/>
      <c r="G2" s="763"/>
      <c r="H2" s="763"/>
      <c r="I2" s="763"/>
      <c r="J2" s="1"/>
      <c r="K2" s="2"/>
      <c r="L2" s="2"/>
      <c r="M2" s="763" t="s">
        <v>3</v>
      </c>
      <c r="N2" s="763"/>
      <c r="O2" s="763"/>
      <c r="P2" s="763"/>
      <c r="Q2" s="763"/>
      <c r="W2" s="764" t="s">
        <v>101</v>
      </c>
      <c r="X2" s="764"/>
      <c r="Y2" s="764"/>
      <c r="Z2" s="764"/>
      <c r="AA2" s="764"/>
      <c r="AB2" s="764"/>
    </row>
    <row r="3" spans="1:16" s="3" customFormat="1" ht="9" customHeight="1">
      <c r="A3" s="4"/>
      <c r="O3" s="4"/>
      <c r="P3" s="4"/>
    </row>
    <row r="4" spans="1:21" ht="15.75">
      <c r="A4" s="313"/>
      <c r="B4" s="313"/>
      <c r="C4" s="313"/>
      <c r="D4" s="313"/>
      <c r="E4" s="313"/>
      <c r="F4" s="313"/>
      <c r="G4" s="313"/>
      <c r="H4" s="313"/>
      <c r="I4" s="313"/>
      <c r="J4" s="314">
        <v>0.4</v>
      </c>
      <c r="K4" s="314">
        <v>0.2</v>
      </c>
      <c r="L4" s="314">
        <v>0.4</v>
      </c>
      <c r="M4" s="314"/>
      <c r="N4" s="314">
        <v>0.3</v>
      </c>
      <c r="O4" s="314">
        <v>0.1</v>
      </c>
      <c r="P4" s="314">
        <v>0.6</v>
      </c>
      <c r="Q4" s="314"/>
      <c r="R4" s="314">
        <v>0.6</v>
      </c>
      <c r="S4" s="314">
        <v>0.3</v>
      </c>
      <c r="T4" s="314">
        <v>0.1</v>
      </c>
      <c r="U4" s="315"/>
    </row>
    <row r="5" spans="1:43" s="316" customFormat="1" ht="27.75" customHeight="1">
      <c r="A5" s="765" t="s">
        <v>5</v>
      </c>
      <c r="B5" s="765" t="s">
        <v>102</v>
      </c>
      <c r="C5" s="767" t="s">
        <v>103</v>
      </c>
      <c r="D5" s="768"/>
      <c r="E5" s="768"/>
      <c r="F5" s="768"/>
      <c r="G5" s="768"/>
      <c r="H5" s="769"/>
      <c r="I5" s="767" t="s">
        <v>264</v>
      </c>
      <c r="J5" s="768"/>
      <c r="K5" s="768"/>
      <c r="L5" s="768"/>
      <c r="M5" s="768"/>
      <c r="N5" s="768"/>
      <c r="O5" s="768"/>
      <c r="P5" s="768"/>
      <c r="Q5" s="768"/>
      <c r="R5" s="768"/>
      <c r="S5" s="768"/>
      <c r="T5" s="768"/>
      <c r="U5" s="769"/>
      <c r="V5" s="770" t="s">
        <v>265</v>
      </c>
      <c r="W5" s="767" t="s">
        <v>462</v>
      </c>
      <c r="X5" s="768"/>
      <c r="Y5" s="768"/>
      <c r="Z5" s="768"/>
      <c r="AA5" s="768"/>
      <c r="AB5" s="769"/>
      <c r="AC5" s="767" t="s">
        <v>264</v>
      </c>
      <c r="AD5" s="768"/>
      <c r="AE5" s="768"/>
      <c r="AF5" s="768"/>
      <c r="AG5" s="768"/>
      <c r="AH5" s="768"/>
      <c r="AI5" s="768"/>
      <c r="AJ5" s="768"/>
      <c r="AK5" s="768"/>
      <c r="AL5" s="768"/>
      <c r="AM5" s="768"/>
      <c r="AN5" s="768"/>
      <c r="AO5" s="769"/>
      <c r="AP5" s="765" t="s">
        <v>265</v>
      </c>
      <c r="AQ5" s="772" t="s">
        <v>266</v>
      </c>
    </row>
    <row r="6" spans="1:43" ht="111.75" customHeight="1">
      <c r="A6" s="766"/>
      <c r="B6" s="766"/>
      <c r="C6" s="317" t="s">
        <v>267</v>
      </c>
      <c r="D6" s="317" t="s">
        <v>268</v>
      </c>
      <c r="E6" s="317" t="s">
        <v>269</v>
      </c>
      <c r="F6" s="317" t="s">
        <v>270</v>
      </c>
      <c r="G6" s="317" t="s">
        <v>271</v>
      </c>
      <c r="H6" s="317" t="s">
        <v>272</v>
      </c>
      <c r="I6" s="774" t="s">
        <v>273</v>
      </c>
      <c r="J6" s="775"/>
      <c r="K6" s="775"/>
      <c r="L6" s="776"/>
      <c r="M6" s="774" t="s">
        <v>274</v>
      </c>
      <c r="N6" s="775"/>
      <c r="O6" s="775"/>
      <c r="P6" s="776"/>
      <c r="Q6" s="774" t="s">
        <v>275</v>
      </c>
      <c r="R6" s="775"/>
      <c r="S6" s="775"/>
      <c r="T6" s="776"/>
      <c r="U6" s="318" t="s">
        <v>276</v>
      </c>
      <c r="V6" s="771"/>
      <c r="W6" s="317" t="s">
        <v>267</v>
      </c>
      <c r="X6" s="317" t="s">
        <v>268</v>
      </c>
      <c r="Y6" s="317" t="s">
        <v>269</v>
      </c>
      <c r="Z6" s="317" t="s">
        <v>270</v>
      </c>
      <c r="AA6" s="317" t="s">
        <v>271</v>
      </c>
      <c r="AB6" s="317" t="s">
        <v>272</v>
      </c>
      <c r="AC6" s="774" t="s">
        <v>273</v>
      </c>
      <c r="AD6" s="775"/>
      <c r="AE6" s="775"/>
      <c r="AF6" s="776"/>
      <c r="AG6" s="774" t="s">
        <v>274</v>
      </c>
      <c r="AH6" s="775"/>
      <c r="AI6" s="775"/>
      <c r="AJ6" s="776"/>
      <c r="AK6" s="774" t="s">
        <v>275</v>
      </c>
      <c r="AL6" s="775"/>
      <c r="AM6" s="775"/>
      <c r="AN6" s="776"/>
      <c r="AO6" s="318" t="s">
        <v>276</v>
      </c>
      <c r="AP6" s="766"/>
      <c r="AQ6" s="773"/>
    </row>
    <row r="7" spans="1:43" ht="20.25" customHeight="1">
      <c r="A7" s="319">
        <v>1</v>
      </c>
      <c r="B7" s="320" t="s">
        <v>277</v>
      </c>
      <c r="C7" s="321">
        <f aca="true" t="shared" si="0" ref="C7:C23">+D7+E7+F7+G7+H7</f>
        <v>2.743</v>
      </c>
      <c r="D7" s="298"/>
      <c r="E7" s="298"/>
      <c r="F7" s="298">
        <v>2.743</v>
      </c>
      <c r="G7" s="298"/>
      <c r="H7" s="298"/>
      <c r="I7" s="322">
        <f>+J7+K7+L7</f>
        <v>0</v>
      </c>
      <c r="J7" s="323">
        <f>+E7*1000*3.5*0.16*309*$J$4/1000</f>
        <v>0</v>
      </c>
      <c r="K7" s="323">
        <f>+E7*1000*3.5*0.16*309*$K$4/1000</f>
        <v>0</v>
      </c>
      <c r="L7" s="323">
        <f>+E7*1000*3.5*0.16*309*$L$4/1000</f>
        <v>0</v>
      </c>
      <c r="M7" s="324">
        <f>+N7+O7+P7</f>
        <v>306.44796</v>
      </c>
      <c r="N7" s="325">
        <f>+F7*1000*3*0.14*266*$N$4/1000</f>
        <v>91.93438800000001</v>
      </c>
      <c r="O7" s="325">
        <f>+F7*1000*3*0.14*266*$O$4/1000</f>
        <v>30.644796000000003</v>
      </c>
      <c r="P7" s="325">
        <f>+F7*1000*3*0.14*266*$P$4/1000</f>
        <v>183.86877600000003</v>
      </c>
      <c r="Q7" s="322">
        <f>+R7+S7+T7</f>
        <v>0</v>
      </c>
      <c r="R7" s="325">
        <f>+G7*1000*3*0.14*266*$R$4/1000</f>
        <v>0</v>
      </c>
      <c r="S7" s="326">
        <f>+G7*1000*3*0.14*266*$S$4/1000</f>
        <v>0</v>
      </c>
      <c r="T7" s="326">
        <f>+G7*1000*3*0.14*266*$T$4/1000</f>
        <v>0</v>
      </c>
      <c r="U7" s="326">
        <f>+H7*1000*3*0.16*0.266</f>
        <v>0</v>
      </c>
      <c r="V7" s="327">
        <f>+Q7+M7+I7+U7</f>
        <v>306.44796</v>
      </c>
      <c r="W7" s="321">
        <f>SUM(X7:AB7)</f>
        <v>0</v>
      </c>
      <c r="X7" s="298"/>
      <c r="Y7" s="298"/>
      <c r="Z7" s="298"/>
      <c r="AA7" s="298"/>
      <c r="AB7" s="298"/>
      <c r="AC7" s="322"/>
      <c r="AD7" s="323"/>
      <c r="AE7" s="323"/>
      <c r="AF7" s="323"/>
      <c r="AG7" s="324"/>
      <c r="AH7" s="325"/>
      <c r="AI7" s="325"/>
      <c r="AJ7" s="325"/>
      <c r="AK7" s="322"/>
      <c r="AL7" s="325"/>
      <c r="AM7" s="326"/>
      <c r="AN7" s="326"/>
      <c r="AO7" s="326"/>
      <c r="AP7" s="327"/>
      <c r="AQ7" s="290"/>
    </row>
    <row r="8" spans="1:43" ht="20.25" customHeight="1">
      <c r="A8" s="319">
        <v>2</v>
      </c>
      <c r="B8" s="320" t="s">
        <v>278</v>
      </c>
      <c r="C8" s="321">
        <f t="shared" si="0"/>
        <v>5.58</v>
      </c>
      <c r="D8" s="298"/>
      <c r="E8" s="298">
        <v>2.815</v>
      </c>
      <c r="F8" s="298">
        <v>2.765</v>
      </c>
      <c r="G8" s="298"/>
      <c r="H8" s="298"/>
      <c r="I8" s="328">
        <f aca="true" t="shared" si="1" ref="I8:I23">+J8+K8+L8</f>
        <v>487.1076000000001</v>
      </c>
      <c r="J8" s="329">
        <f aca="true" t="shared" si="2" ref="J8:J23">+E8*1000*3.5*0.16*309*$J$4/1000</f>
        <v>194.84304000000003</v>
      </c>
      <c r="K8" s="329">
        <f aca="true" t="shared" si="3" ref="K8:K23">+E8*1000*3.5*0.16*309*$K$4/1000</f>
        <v>97.42152000000002</v>
      </c>
      <c r="L8" s="329">
        <f aca="true" t="shared" si="4" ref="L8:L23">+E8*1000*3.5*0.16*309*$L$4/1000</f>
        <v>194.84304000000003</v>
      </c>
      <c r="M8" s="330">
        <f aca="true" t="shared" si="5" ref="M8:M23">+N8+O8+P8</f>
        <v>308.9058</v>
      </c>
      <c r="N8" s="331">
        <f aca="true" t="shared" si="6" ref="N8:N23">+F8*1000*3*0.14*266*$N$4/1000</f>
        <v>92.67174</v>
      </c>
      <c r="O8" s="331">
        <f aca="true" t="shared" si="7" ref="O8:O23">+F8*1000*3*0.14*266*$O$4/1000</f>
        <v>30.890580000000007</v>
      </c>
      <c r="P8" s="331">
        <f aca="true" t="shared" si="8" ref="P8:P23">+F8*1000*3*0.14*266*$P$4/1000</f>
        <v>185.34348</v>
      </c>
      <c r="Q8" s="328">
        <f aca="true" t="shared" si="9" ref="Q8:Q23">+R8+S8+T8</f>
        <v>0</v>
      </c>
      <c r="R8" s="331">
        <f aca="true" t="shared" si="10" ref="R8:R23">+G8*1000*3*0.14*266*$R$4/1000</f>
        <v>0</v>
      </c>
      <c r="S8" s="332">
        <f aca="true" t="shared" si="11" ref="S8:S23">+G8*1000*3*0.14*266*$S$4/1000</f>
        <v>0</v>
      </c>
      <c r="T8" s="332">
        <f aca="true" t="shared" si="12" ref="T8:T23">+G8*1000*3*0.14*266*$T$4/1000</f>
        <v>0</v>
      </c>
      <c r="U8" s="332">
        <f aca="true" t="shared" si="13" ref="U8:U23">+H8*1000*3*0.16*0.266</f>
        <v>0</v>
      </c>
      <c r="V8" s="333">
        <f aca="true" t="shared" si="14" ref="V8:V23">+Q8+M8+I8+U8</f>
        <v>796.0134</v>
      </c>
      <c r="W8" s="321">
        <f aca="true" t="shared" si="15" ref="W8:W23">SUM(X8:AB8)</f>
        <v>0</v>
      </c>
      <c r="X8" s="298"/>
      <c r="Y8" s="298"/>
      <c r="Z8" s="298"/>
      <c r="AA8" s="298"/>
      <c r="AB8" s="298"/>
      <c r="AC8" s="328"/>
      <c r="AD8" s="329"/>
      <c r="AE8" s="329"/>
      <c r="AF8" s="329"/>
      <c r="AG8" s="330"/>
      <c r="AH8" s="331"/>
      <c r="AI8" s="331"/>
      <c r="AJ8" s="331"/>
      <c r="AK8" s="328"/>
      <c r="AL8" s="331"/>
      <c r="AM8" s="332"/>
      <c r="AN8" s="332"/>
      <c r="AO8" s="332"/>
      <c r="AP8" s="333"/>
      <c r="AQ8" s="295"/>
    </row>
    <row r="9" spans="1:43" ht="20.25" customHeight="1">
      <c r="A9" s="319">
        <v>3</v>
      </c>
      <c r="B9" s="320" t="s">
        <v>279</v>
      </c>
      <c r="C9" s="321">
        <f t="shared" si="0"/>
        <v>2</v>
      </c>
      <c r="D9" s="298"/>
      <c r="E9" s="298"/>
      <c r="F9" s="298"/>
      <c r="G9" s="298">
        <v>2</v>
      </c>
      <c r="H9" s="298"/>
      <c r="I9" s="328">
        <f t="shared" si="1"/>
        <v>0</v>
      </c>
      <c r="J9" s="329">
        <f t="shared" si="2"/>
        <v>0</v>
      </c>
      <c r="K9" s="329">
        <f t="shared" si="3"/>
        <v>0</v>
      </c>
      <c r="L9" s="329">
        <f t="shared" si="4"/>
        <v>0</v>
      </c>
      <c r="M9" s="330">
        <f t="shared" si="5"/>
        <v>0</v>
      </c>
      <c r="N9" s="331">
        <f t="shared" si="6"/>
        <v>0</v>
      </c>
      <c r="O9" s="331">
        <f t="shared" si="7"/>
        <v>0</v>
      </c>
      <c r="P9" s="331">
        <f t="shared" si="8"/>
        <v>0</v>
      </c>
      <c r="Q9" s="328">
        <f t="shared" si="9"/>
        <v>223.44</v>
      </c>
      <c r="R9" s="331">
        <f t="shared" si="10"/>
        <v>134.064</v>
      </c>
      <c r="S9" s="332">
        <f t="shared" si="11"/>
        <v>67.032</v>
      </c>
      <c r="T9" s="332">
        <f t="shared" si="12"/>
        <v>22.344000000000005</v>
      </c>
      <c r="U9" s="332">
        <f t="shared" si="13"/>
        <v>0</v>
      </c>
      <c r="V9" s="333">
        <f t="shared" si="14"/>
        <v>223.44</v>
      </c>
      <c r="W9" s="321">
        <f t="shared" si="15"/>
        <v>0</v>
      </c>
      <c r="X9" s="298"/>
      <c r="Y9" s="298"/>
      <c r="Z9" s="298"/>
      <c r="AA9" s="298"/>
      <c r="AB9" s="298"/>
      <c r="AC9" s="328"/>
      <c r="AD9" s="329"/>
      <c r="AE9" s="329"/>
      <c r="AF9" s="329"/>
      <c r="AG9" s="330"/>
      <c r="AH9" s="331"/>
      <c r="AI9" s="331"/>
      <c r="AJ9" s="331"/>
      <c r="AK9" s="328"/>
      <c r="AL9" s="331"/>
      <c r="AM9" s="332"/>
      <c r="AN9" s="332"/>
      <c r="AO9" s="332"/>
      <c r="AP9" s="333"/>
      <c r="AQ9" s="295"/>
    </row>
    <row r="10" spans="1:43" ht="20.25" customHeight="1">
      <c r="A10" s="319">
        <v>4</v>
      </c>
      <c r="B10" s="320" t="s">
        <v>280</v>
      </c>
      <c r="C10" s="321">
        <f t="shared" si="0"/>
        <v>7.785</v>
      </c>
      <c r="D10" s="298"/>
      <c r="E10" s="298">
        <v>6.775</v>
      </c>
      <c r="F10" s="298">
        <v>1.01</v>
      </c>
      <c r="G10" s="298"/>
      <c r="H10" s="298"/>
      <c r="I10" s="328">
        <f t="shared" si="1"/>
        <v>1172.346</v>
      </c>
      <c r="J10" s="329">
        <f t="shared" si="2"/>
        <v>468.9384</v>
      </c>
      <c r="K10" s="329">
        <f t="shared" si="3"/>
        <v>234.4692</v>
      </c>
      <c r="L10" s="329">
        <f t="shared" si="4"/>
        <v>468.9384</v>
      </c>
      <c r="M10" s="330">
        <f t="shared" si="5"/>
        <v>112.8372</v>
      </c>
      <c r="N10" s="331">
        <f t="shared" si="6"/>
        <v>33.85116</v>
      </c>
      <c r="O10" s="331">
        <f t="shared" si="7"/>
        <v>11.28372</v>
      </c>
      <c r="P10" s="331">
        <f t="shared" si="8"/>
        <v>67.70232</v>
      </c>
      <c r="Q10" s="328">
        <f t="shared" si="9"/>
        <v>0</v>
      </c>
      <c r="R10" s="331">
        <f t="shared" si="10"/>
        <v>0</v>
      </c>
      <c r="S10" s="332">
        <f t="shared" si="11"/>
        <v>0</v>
      </c>
      <c r="T10" s="332">
        <f t="shared" si="12"/>
        <v>0</v>
      </c>
      <c r="U10" s="332">
        <f t="shared" si="13"/>
        <v>0</v>
      </c>
      <c r="V10" s="333">
        <f t="shared" si="14"/>
        <v>1285.1832</v>
      </c>
      <c r="W10" s="321">
        <f t="shared" si="15"/>
        <v>0</v>
      </c>
      <c r="X10" s="298"/>
      <c r="Y10" s="298"/>
      <c r="Z10" s="298"/>
      <c r="AA10" s="298"/>
      <c r="AB10" s="298"/>
      <c r="AC10" s="328"/>
      <c r="AD10" s="329"/>
      <c r="AE10" s="329"/>
      <c r="AF10" s="329"/>
      <c r="AG10" s="330"/>
      <c r="AH10" s="331"/>
      <c r="AI10" s="331"/>
      <c r="AJ10" s="331"/>
      <c r="AK10" s="328"/>
      <c r="AL10" s="331"/>
      <c r="AM10" s="332"/>
      <c r="AN10" s="332"/>
      <c r="AO10" s="332"/>
      <c r="AP10" s="333"/>
      <c r="AQ10" s="295"/>
    </row>
    <row r="11" spans="1:43" ht="20.25" customHeight="1">
      <c r="A11" s="319">
        <v>5</v>
      </c>
      <c r="B11" s="320" t="s">
        <v>281</v>
      </c>
      <c r="C11" s="321">
        <f t="shared" si="0"/>
        <v>5.012</v>
      </c>
      <c r="D11" s="298"/>
      <c r="E11" s="298">
        <f>3.252+0.27</f>
        <v>3.522</v>
      </c>
      <c r="F11" s="298">
        <v>1.315</v>
      </c>
      <c r="G11" s="298">
        <v>0.175</v>
      </c>
      <c r="H11" s="298"/>
      <c r="I11" s="328">
        <f t="shared" si="1"/>
        <v>609.44688</v>
      </c>
      <c r="J11" s="329">
        <f t="shared" si="2"/>
        <v>243.778752</v>
      </c>
      <c r="K11" s="329">
        <f t="shared" si="3"/>
        <v>121.889376</v>
      </c>
      <c r="L11" s="329">
        <f t="shared" si="4"/>
        <v>243.778752</v>
      </c>
      <c r="M11" s="330">
        <f t="shared" si="5"/>
        <v>146.9118</v>
      </c>
      <c r="N11" s="331">
        <f t="shared" si="6"/>
        <v>44.07354</v>
      </c>
      <c r="O11" s="331">
        <f t="shared" si="7"/>
        <v>14.691180000000003</v>
      </c>
      <c r="P11" s="331">
        <f t="shared" si="8"/>
        <v>88.14708</v>
      </c>
      <c r="Q11" s="328">
        <f t="shared" si="9"/>
        <v>19.551000000000002</v>
      </c>
      <c r="R11" s="331">
        <f t="shared" si="10"/>
        <v>11.7306</v>
      </c>
      <c r="S11" s="332">
        <f t="shared" si="11"/>
        <v>5.8653</v>
      </c>
      <c r="T11" s="332">
        <f t="shared" si="12"/>
        <v>1.9551</v>
      </c>
      <c r="U11" s="332">
        <f t="shared" si="13"/>
        <v>0</v>
      </c>
      <c r="V11" s="333">
        <f t="shared" si="14"/>
        <v>775.90968</v>
      </c>
      <c r="W11" s="321">
        <f t="shared" si="15"/>
        <v>0</v>
      </c>
      <c r="X11" s="298"/>
      <c r="Y11" s="298"/>
      <c r="Z11" s="298"/>
      <c r="AA11" s="298"/>
      <c r="AB11" s="298"/>
      <c r="AC11" s="328"/>
      <c r="AD11" s="329"/>
      <c r="AE11" s="329"/>
      <c r="AF11" s="329"/>
      <c r="AG11" s="330"/>
      <c r="AH11" s="331"/>
      <c r="AI11" s="331"/>
      <c r="AJ11" s="331"/>
      <c r="AK11" s="328"/>
      <c r="AL11" s="331"/>
      <c r="AM11" s="332"/>
      <c r="AN11" s="332"/>
      <c r="AO11" s="332"/>
      <c r="AP11" s="333"/>
      <c r="AQ11" s="295"/>
    </row>
    <row r="12" spans="1:43" ht="20.25" customHeight="1">
      <c r="A12" s="319">
        <v>6</v>
      </c>
      <c r="B12" s="320" t="s">
        <v>282</v>
      </c>
      <c r="C12" s="321">
        <f t="shared" si="0"/>
        <v>1.93</v>
      </c>
      <c r="D12" s="298"/>
      <c r="E12" s="298"/>
      <c r="F12" s="298">
        <v>1.93</v>
      </c>
      <c r="G12" s="298"/>
      <c r="H12" s="298"/>
      <c r="I12" s="328">
        <f t="shared" si="1"/>
        <v>0</v>
      </c>
      <c r="J12" s="329">
        <f t="shared" si="2"/>
        <v>0</v>
      </c>
      <c r="K12" s="329">
        <f t="shared" si="3"/>
        <v>0</v>
      </c>
      <c r="L12" s="329">
        <f t="shared" si="4"/>
        <v>0</v>
      </c>
      <c r="M12" s="330">
        <f t="shared" si="5"/>
        <v>215.6196</v>
      </c>
      <c r="N12" s="331">
        <f t="shared" si="6"/>
        <v>64.68588</v>
      </c>
      <c r="O12" s="331">
        <f t="shared" si="7"/>
        <v>21.561960000000003</v>
      </c>
      <c r="P12" s="331">
        <f t="shared" si="8"/>
        <v>129.37176</v>
      </c>
      <c r="Q12" s="328">
        <f t="shared" si="9"/>
        <v>0</v>
      </c>
      <c r="R12" s="331">
        <f t="shared" si="10"/>
        <v>0</v>
      </c>
      <c r="S12" s="332">
        <f t="shared" si="11"/>
        <v>0</v>
      </c>
      <c r="T12" s="332">
        <f t="shared" si="12"/>
        <v>0</v>
      </c>
      <c r="U12" s="332">
        <f t="shared" si="13"/>
        <v>0</v>
      </c>
      <c r="V12" s="333">
        <f t="shared" si="14"/>
        <v>215.6196</v>
      </c>
      <c r="W12" s="321">
        <f t="shared" si="15"/>
        <v>0</v>
      </c>
      <c r="X12" s="298"/>
      <c r="Y12" s="298"/>
      <c r="Z12" s="298"/>
      <c r="AA12" s="298"/>
      <c r="AB12" s="298"/>
      <c r="AC12" s="328"/>
      <c r="AD12" s="329"/>
      <c r="AE12" s="329"/>
      <c r="AF12" s="329"/>
      <c r="AG12" s="330"/>
      <c r="AH12" s="331"/>
      <c r="AI12" s="331"/>
      <c r="AJ12" s="331"/>
      <c r="AK12" s="328"/>
      <c r="AL12" s="331"/>
      <c r="AM12" s="332"/>
      <c r="AN12" s="332"/>
      <c r="AO12" s="332"/>
      <c r="AP12" s="333"/>
      <c r="AQ12" s="295"/>
    </row>
    <row r="13" spans="1:43" ht="20.25" customHeight="1">
      <c r="A13" s="319">
        <v>7</v>
      </c>
      <c r="B13" s="320" t="s">
        <v>283</v>
      </c>
      <c r="C13" s="321">
        <f t="shared" si="0"/>
        <v>5.38</v>
      </c>
      <c r="D13" s="298"/>
      <c r="E13" s="298">
        <v>3.743</v>
      </c>
      <c r="F13" s="298">
        <v>1.517</v>
      </c>
      <c r="G13" s="298">
        <v>0.12</v>
      </c>
      <c r="H13" s="298"/>
      <c r="I13" s="328">
        <f t="shared" si="1"/>
        <v>647.6887200000001</v>
      </c>
      <c r="J13" s="329">
        <f t="shared" si="2"/>
        <v>259.075488</v>
      </c>
      <c r="K13" s="329">
        <f t="shared" si="3"/>
        <v>129.537744</v>
      </c>
      <c r="L13" s="329">
        <f t="shared" si="4"/>
        <v>259.075488</v>
      </c>
      <c r="M13" s="330">
        <f t="shared" si="5"/>
        <v>169.47924</v>
      </c>
      <c r="N13" s="331">
        <f t="shared" si="6"/>
        <v>50.843772</v>
      </c>
      <c r="O13" s="331">
        <f t="shared" si="7"/>
        <v>16.947924000000004</v>
      </c>
      <c r="P13" s="331">
        <f t="shared" si="8"/>
        <v>101.687544</v>
      </c>
      <c r="Q13" s="328">
        <f t="shared" si="9"/>
        <v>13.4064</v>
      </c>
      <c r="R13" s="331">
        <f t="shared" si="10"/>
        <v>8.04384</v>
      </c>
      <c r="S13" s="332">
        <f t="shared" si="11"/>
        <v>4.02192</v>
      </c>
      <c r="T13" s="332">
        <f t="shared" si="12"/>
        <v>1.3406400000000003</v>
      </c>
      <c r="U13" s="332">
        <f t="shared" si="13"/>
        <v>0</v>
      </c>
      <c r="V13" s="333">
        <f t="shared" si="14"/>
        <v>830.5743600000001</v>
      </c>
      <c r="W13" s="321">
        <f t="shared" si="15"/>
        <v>0</v>
      </c>
      <c r="X13" s="298"/>
      <c r="Y13" s="298"/>
      <c r="Z13" s="298"/>
      <c r="AA13" s="298"/>
      <c r="AB13" s="298"/>
      <c r="AC13" s="328"/>
      <c r="AD13" s="329"/>
      <c r="AE13" s="329"/>
      <c r="AF13" s="329"/>
      <c r="AG13" s="330"/>
      <c r="AH13" s="331"/>
      <c r="AI13" s="331"/>
      <c r="AJ13" s="331"/>
      <c r="AK13" s="328"/>
      <c r="AL13" s="331"/>
      <c r="AM13" s="332"/>
      <c r="AN13" s="332"/>
      <c r="AO13" s="332"/>
      <c r="AP13" s="333"/>
      <c r="AQ13" s="295"/>
    </row>
    <row r="14" spans="1:43" ht="20.25" customHeight="1">
      <c r="A14" s="319">
        <v>8</v>
      </c>
      <c r="B14" s="320" t="s">
        <v>284</v>
      </c>
      <c r="C14" s="321">
        <f t="shared" si="0"/>
        <v>2.8519999999999994</v>
      </c>
      <c r="D14" s="298"/>
      <c r="E14" s="298">
        <v>2.102</v>
      </c>
      <c r="F14" s="298">
        <v>0.49</v>
      </c>
      <c r="G14" s="298"/>
      <c r="H14" s="298">
        <v>0.26</v>
      </c>
      <c r="I14" s="328">
        <f t="shared" si="1"/>
        <v>363.73008</v>
      </c>
      <c r="J14" s="329">
        <f t="shared" si="2"/>
        <v>145.492032</v>
      </c>
      <c r="K14" s="329">
        <f t="shared" si="3"/>
        <v>72.746016</v>
      </c>
      <c r="L14" s="329">
        <f t="shared" si="4"/>
        <v>145.492032</v>
      </c>
      <c r="M14" s="330">
        <f t="shared" si="5"/>
        <v>54.7428</v>
      </c>
      <c r="N14" s="331">
        <f t="shared" si="6"/>
        <v>16.42284</v>
      </c>
      <c r="O14" s="331">
        <f t="shared" si="7"/>
        <v>5.47428</v>
      </c>
      <c r="P14" s="331">
        <f t="shared" si="8"/>
        <v>32.84568</v>
      </c>
      <c r="Q14" s="328">
        <f t="shared" si="9"/>
        <v>0</v>
      </c>
      <c r="R14" s="331">
        <f t="shared" si="10"/>
        <v>0</v>
      </c>
      <c r="S14" s="332">
        <f t="shared" si="11"/>
        <v>0</v>
      </c>
      <c r="T14" s="332">
        <f t="shared" si="12"/>
        <v>0</v>
      </c>
      <c r="U14" s="332">
        <f t="shared" si="13"/>
        <v>33.1968</v>
      </c>
      <c r="V14" s="333">
        <f t="shared" si="14"/>
        <v>451.66967999999997</v>
      </c>
      <c r="W14" s="321">
        <f t="shared" si="15"/>
        <v>0</v>
      </c>
      <c r="X14" s="298"/>
      <c r="Y14" s="298"/>
      <c r="Z14" s="298"/>
      <c r="AA14" s="298"/>
      <c r="AB14" s="298"/>
      <c r="AC14" s="328"/>
      <c r="AD14" s="329"/>
      <c r="AE14" s="329"/>
      <c r="AF14" s="329"/>
      <c r="AG14" s="330"/>
      <c r="AH14" s="331"/>
      <c r="AI14" s="331"/>
      <c r="AJ14" s="331"/>
      <c r="AK14" s="328"/>
      <c r="AL14" s="331"/>
      <c r="AM14" s="332"/>
      <c r="AN14" s="332"/>
      <c r="AO14" s="332"/>
      <c r="AP14" s="333"/>
      <c r="AQ14" s="295"/>
    </row>
    <row r="15" spans="1:43" ht="20.25" customHeight="1">
      <c r="A15" s="319">
        <v>9</v>
      </c>
      <c r="B15" s="320" t="s">
        <v>285</v>
      </c>
      <c r="C15" s="321">
        <f t="shared" si="0"/>
        <v>8.4</v>
      </c>
      <c r="D15" s="298"/>
      <c r="E15" s="298">
        <v>6.4</v>
      </c>
      <c r="F15" s="298">
        <v>2</v>
      </c>
      <c r="G15" s="298"/>
      <c r="H15" s="298"/>
      <c r="I15" s="328">
        <f t="shared" si="1"/>
        <v>1107.4560000000001</v>
      </c>
      <c r="J15" s="329">
        <f t="shared" si="2"/>
        <v>442.98240000000004</v>
      </c>
      <c r="K15" s="329">
        <f t="shared" si="3"/>
        <v>221.49120000000002</v>
      </c>
      <c r="L15" s="329">
        <f t="shared" si="4"/>
        <v>442.98240000000004</v>
      </c>
      <c r="M15" s="330">
        <f t="shared" si="5"/>
        <v>223.44</v>
      </c>
      <c r="N15" s="331">
        <f t="shared" si="6"/>
        <v>67.032</v>
      </c>
      <c r="O15" s="331">
        <f t="shared" si="7"/>
        <v>22.344000000000005</v>
      </c>
      <c r="P15" s="331">
        <f t="shared" si="8"/>
        <v>134.064</v>
      </c>
      <c r="Q15" s="328">
        <f t="shared" si="9"/>
        <v>0</v>
      </c>
      <c r="R15" s="331">
        <f t="shared" si="10"/>
        <v>0</v>
      </c>
      <c r="S15" s="332">
        <f t="shared" si="11"/>
        <v>0</v>
      </c>
      <c r="T15" s="332">
        <f t="shared" si="12"/>
        <v>0</v>
      </c>
      <c r="U15" s="332">
        <f t="shared" si="13"/>
        <v>0</v>
      </c>
      <c r="V15" s="333">
        <f t="shared" si="14"/>
        <v>1330.8960000000002</v>
      </c>
      <c r="W15" s="321">
        <f t="shared" si="15"/>
        <v>0</v>
      </c>
      <c r="X15" s="298"/>
      <c r="Y15" s="298"/>
      <c r="Z15" s="298"/>
      <c r="AA15" s="298"/>
      <c r="AB15" s="298"/>
      <c r="AC15" s="328"/>
      <c r="AD15" s="329"/>
      <c r="AE15" s="329"/>
      <c r="AF15" s="329"/>
      <c r="AG15" s="330"/>
      <c r="AH15" s="331"/>
      <c r="AI15" s="331"/>
      <c r="AJ15" s="331"/>
      <c r="AK15" s="328"/>
      <c r="AL15" s="331"/>
      <c r="AM15" s="332"/>
      <c r="AN15" s="332"/>
      <c r="AO15" s="332"/>
      <c r="AP15" s="333"/>
      <c r="AQ15" s="295"/>
    </row>
    <row r="16" spans="1:43" ht="20.25" customHeight="1">
      <c r="A16" s="319">
        <v>10</v>
      </c>
      <c r="B16" s="320" t="s">
        <v>286</v>
      </c>
      <c r="C16" s="321">
        <f t="shared" si="0"/>
        <v>5.6499999999999995</v>
      </c>
      <c r="D16" s="298"/>
      <c r="E16" s="298">
        <v>0.25</v>
      </c>
      <c r="F16" s="298">
        <v>4.8</v>
      </c>
      <c r="G16" s="298">
        <v>0.6</v>
      </c>
      <c r="H16" s="298"/>
      <c r="I16" s="328">
        <f t="shared" si="1"/>
        <v>43.25999999999999</v>
      </c>
      <c r="J16" s="329">
        <f t="shared" si="2"/>
        <v>17.304</v>
      </c>
      <c r="K16" s="329">
        <f t="shared" si="3"/>
        <v>8.652</v>
      </c>
      <c r="L16" s="329">
        <f t="shared" si="4"/>
        <v>17.304</v>
      </c>
      <c r="M16" s="330">
        <f t="shared" si="5"/>
        <v>536.2560000000001</v>
      </c>
      <c r="N16" s="331">
        <f t="shared" si="6"/>
        <v>160.87680000000003</v>
      </c>
      <c r="O16" s="331">
        <f t="shared" si="7"/>
        <v>53.62560000000001</v>
      </c>
      <c r="P16" s="331">
        <f t="shared" si="8"/>
        <v>321.75360000000006</v>
      </c>
      <c r="Q16" s="328">
        <f t="shared" si="9"/>
        <v>67.03200000000001</v>
      </c>
      <c r="R16" s="331">
        <f t="shared" si="10"/>
        <v>40.21920000000001</v>
      </c>
      <c r="S16" s="332">
        <f t="shared" si="11"/>
        <v>20.109600000000004</v>
      </c>
      <c r="T16" s="332">
        <f t="shared" si="12"/>
        <v>6.703200000000002</v>
      </c>
      <c r="U16" s="332">
        <f t="shared" si="13"/>
        <v>0</v>
      </c>
      <c r="V16" s="333">
        <f t="shared" si="14"/>
        <v>646.5480000000001</v>
      </c>
      <c r="W16" s="321">
        <f t="shared" si="15"/>
        <v>0</v>
      </c>
      <c r="X16" s="298"/>
      <c r="Y16" s="298"/>
      <c r="Z16" s="298"/>
      <c r="AA16" s="298"/>
      <c r="AB16" s="298"/>
      <c r="AC16" s="328"/>
      <c r="AD16" s="329"/>
      <c r="AE16" s="329"/>
      <c r="AF16" s="329"/>
      <c r="AG16" s="330"/>
      <c r="AH16" s="331"/>
      <c r="AI16" s="331"/>
      <c r="AJ16" s="331"/>
      <c r="AK16" s="328"/>
      <c r="AL16" s="331"/>
      <c r="AM16" s="332"/>
      <c r="AN16" s="332"/>
      <c r="AO16" s="332"/>
      <c r="AP16" s="333"/>
      <c r="AQ16" s="295"/>
    </row>
    <row r="17" spans="1:43" ht="20.25" customHeight="1">
      <c r="A17" s="319">
        <v>11</v>
      </c>
      <c r="B17" s="320" t="s">
        <v>287</v>
      </c>
      <c r="C17" s="321">
        <f t="shared" si="0"/>
        <v>22.8</v>
      </c>
      <c r="D17" s="298"/>
      <c r="E17" s="298"/>
      <c r="F17" s="298">
        <v>14.3</v>
      </c>
      <c r="G17" s="298">
        <v>6.5</v>
      </c>
      <c r="H17" s="298">
        <v>2</v>
      </c>
      <c r="I17" s="328">
        <f t="shared" si="1"/>
        <v>0</v>
      </c>
      <c r="J17" s="329">
        <f t="shared" si="2"/>
        <v>0</v>
      </c>
      <c r="K17" s="329">
        <f t="shared" si="3"/>
        <v>0</v>
      </c>
      <c r="L17" s="329">
        <f t="shared" si="4"/>
        <v>0</v>
      </c>
      <c r="M17" s="330">
        <f t="shared" si="5"/>
        <v>1597.5960000000002</v>
      </c>
      <c r="N17" s="331">
        <f t="shared" si="6"/>
        <v>479.27880000000005</v>
      </c>
      <c r="O17" s="331">
        <f t="shared" si="7"/>
        <v>159.75960000000003</v>
      </c>
      <c r="P17" s="331">
        <f t="shared" si="8"/>
        <v>958.5576000000001</v>
      </c>
      <c r="Q17" s="328">
        <f t="shared" si="9"/>
        <v>726.1800000000002</v>
      </c>
      <c r="R17" s="331">
        <f t="shared" si="10"/>
        <v>435.7080000000001</v>
      </c>
      <c r="S17" s="332">
        <f t="shared" si="11"/>
        <v>217.85400000000004</v>
      </c>
      <c r="T17" s="332">
        <f t="shared" si="12"/>
        <v>72.61800000000001</v>
      </c>
      <c r="U17" s="332">
        <f t="shared" si="13"/>
        <v>255.36</v>
      </c>
      <c r="V17" s="333">
        <f t="shared" si="14"/>
        <v>2579.1360000000004</v>
      </c>
      <c r="W17" s="321">
        <f t="shared" si="15"/>
        <v>0</v>
      </c>
      <c r="X17" s="298"/>
      <c r="Y17" s="298"/>
      <c r="Z17" s="298"/>
      <c r="AA17" s="298"/>
      <c r="AB17" s="298"/>
      <c r="AC17" s="328"/>
      <c r="AD17" s="329"/>
      <c r="AE17" s="329"/>
      <c r="AF17" s="329"/>
      <c r="AG17" s="330"/>
      <c r="AH17" s="331"/>
      <c r="AI17" s="331"/>
      <c r="AJ17" s="331"/>
      <c r="AK17" s="328"/>
      <c r="AL17" s="331"/>
      <c r="AM17" s="332"/>
      <c r="AN17" s="332"/>
      <c r="AO17" s="332"/>
      <c r="AP17" s="333"/>
      <c r="AQ17" s="295"/>
    </row>
    <row r="18" spans="1:43" ht="20.25" customHeight="1">
      <c r="A18" s="319">
        <v>12</v>
      </c>
      <c r="B18" s="320" t="s">
        <v>288</v>
      </c>
      <c r="C18" s="321">
        <f t="shared" si="0"/>
        <v>9.482</v>
      </c>
      <c r="D18" s="298"/>
      <c r="E18" s="298">
        <v>4.86</v>
      </c>
      <c r="F18" s="298">
        <v>4.622</v>
      </c>
      <c r="G18" s="298"/>
      <c r="H18" s="298"/>
      <c r="I18" s="328">
        <f t="shared" si="1"/>
        <v>840.9744000000001</v>
      </c>
      <c r="J18" s="329">
        <f t="shared" si="2"/>
        <v>336.38976</v>
      </c>
      <c r="K18" s="329">
        <f t="shared" si="3"/>
        <v>168.19488</v>
      </c>
      <c r="L18" s="329">
        <f t="shared" si="4"/>
        <v>336.38976</v>
      </c>
      <c r="M18" s="330">
        <f t="shared" si="5"/>
        <v>516.3698400000001</v>
      </c>
      <c r="N18" s="331">
        <f t="shared" si="6"/>
        <v>154.910952</v>
      </c>
      <c r="O18" s="331">
        <f t="shared" si="7"/>
        <v>51.63698400000001</v>
      </c>
      <c r="P18" s="331">
        <f t="shared" si="8"/>
        <v>309.821904</v>
      </c>
      <c r="Q18" s="328">
        <f t="shared" si="9"/>
        <v>0</v>
      </c>
      <c r="R18" s="331">
        <f t="shared" si="10"/>
        <v>0</v>
      </c>
      <c r="S18" s="332">
        <f t="shared" si="11"/>
        <v>0</v>
      </c>
      <c r="T18" s="332">
        <f t="shared" si="12"/>
        <v>0</v>
      </c>
      <c r="U18" s="332">
        <f t="shared" si="13"/>
        <v>0</v>
      </c>
      <c r="V18" s="333">
        <f t="shared" si="14"/>
        <v>1357.3442400000001</v>
      </c>
      <c r="W18" s="321">
        <f t="shared" si="15"/>
        <v>0</v>
      </c>
      <c r="X18" s="298"/>
      <c r="Y18" s="298"/>
      <c r="Z18" s="298"/>
      <c r="AA18" s="298"/>
      <c r="AB18" s="298"/>
      <c r="AC18" s="328"/>
      <c r="AD18" s="329"/>
      <c r="AE18" s="329"/>
      <c r="AF18" s="329"/>
      <c r="AG18" s="330"/>
      <c r="AH18" s="331"/>
      <c r="AI18" s="331"/>
      <c r="AJ18" s="331"/>
      <c r="AK18" s="328"/>
      <c r="AL18" s="331"/>
      <c r="AM18" s="332"/>
      <c r="AN18" s="332"/>
      <c r="AO18" s="332"/>
      <c r="AP18" s="333"/>
      <c r="AQ18" s="295"/>
    </row>
    <row r="19" spans="1:43" ht="20.25" customHeight="1">
      <c r="A19" s="319">
        <v>13</v>
      </c>
      <c r="B19" s="320" t="s">
        <v>289</v>
      </c>
      <c r="C19" s="321">
        <f t="shared" si="0"/>
        <v>9.57</v>
      </c>
      <c r="D19" s="298"/>
      <c r="E19" s="298">
        <v>3</v>
      </c>
      <c r="F19" s="298">
        <v>4.57</v>
      </c>
      <c r="G19" s="298">
        <v>2</v>
      </c>
      <c r="H19" s="298"/>
      <c r="I19" s="328">
        <f t="shared" si="1"/>
        <v>519.12</v>
      </c>
      <c r="J19" s="329">
        <f t="shared" si="2"/>
        <v>207.648</v>
      </c>
      <c r="K19" s="329">
        <f t="shared" si="3"/>
        <v>103.824</v>
      </c>
      <c r="L19" s="329">
        <f t="shared" si="4"/>
        <v>207.648</v>
      </c>
      <c r="M19" s="330">
        <f t="shared" si="5"/>
        <v>510.56039999999996</v>
      </c>
      <c r="N19" s="331">
        <f t="shared" si="6"/>
        <v>153.16812</v>
      </c>
      <c r="O19" s="331">
        <f t="shared" si="7"/>
        <v>51.05604000000001</v>
      </c>
      <c r="P19" s="331">
        <f t="shared" si="8"/>
        <v>306.33624</v>
      </c>
      <c r="Q19" s="328">
        <f t="shared" si="9"/>
        <v>223.44</v>
      </c>
      <c r="R19" s="331">
        <f t="shared" si="10"/>
        <v>134.064</v>
      </c>
      <c r="S19" s="332">
        <f t="shared" si="11"/>
        <v>67.032</v>
      </c>
      <c r="T19" s="332">
        <f t="shared" si="12"/>
        <v>22.344000000000005</v>
      </c>
      <c r="U19" s="332">
        <f t="shared" si="13"/>
        <v>0</v>
      </c>
      <c r="V19" s="333">
        <f t="shared" si="14"/>
        <v>1253.1203999999998</v>
      </c>
      <c r="W19" s="321">
        <f t="shared" si="15"/>
        <v>0</v>
      </c>
      <c r="X19" s="298"/>
      <c r="Y19" s="298"/>
      <c r="Z19" s="298"/>
      <c r="AA19" s="298"/>
      <c r="AB19" s="298"/>
      <c r="AC19" s="328"/>
      <c r="AD19" s="329"/>
      <c r="AE19" s="329"/>
      <c r="AF19" s="329"/>
      <c r="AG19" s="330"/>
      <c r="AH19" s="331"/>
      <c r="AI19" s="331"/>
      <c r="AJ19" s="331"/>
      <c r="AK19" s="328"/>
      <c r="AL19" s="331"/>
      <c r="AM19" s="332"/>
      <c r="AN19" s="332"/>
      <c r="AO19" s="332"/>
      <c r="AP19" s="333"/>
      <c r="AQ19" s="295"/>
    </row>
    <row r="20" spans="1:43" ht="20.25" customHeight="1">
      <c r="A20" s="319">
        <v>14</v>
      </c>
      <c r="B20" s="320" t="s">
        <v>290</v>
      </c>
      <c r="C20" s="321">
        <f t="shared" si="0"/>
        <v>3.4400000000000004</v>
      </c>
      <c r="D20" s="298"/>
      <c r="E20" s="298">
        <v>1.65</v>
      </c>
      <c r="F20" s="298">
        <v>1.09</v>
      </c>
      <c r="G20" s="298">
        <v>0.7</v>
      </c>
      <c r="H20" s="298"/>
      <c r="I20" s="328">
        <f t="shared" si="1"/>
        <v>285.51599999999996</v>
      </c>
      <c r="J20" s="329">
        <f t="shared" si="2"/>
        <v>114.2064</v>
      </c>
      <c r="K20" s="329">
        <f t="shared" si="3"/>
        <v>57.1032</v>
      </c>
      <c r="L20" s="329">
        <f t="shared" si="4"/>
        <v>114.2064</v>
      </c>
      <c r="M20" s="330">
        <f t="shared" si="5"/>
        <v>121.7748</v>
      </c>
      <c r="N20" s="331">
        <f t="shared" si="6"/>
        <v>36.53244</v>
      </c>
      <c r="O20" s="331">
        <f t="shared" si="7"/>
        <v>12.177480000000003</v>
      </c>
      <c r="P20" s="331">
        <f t="shared" si="8"/>
        <v>73.06488</v>
      </c>
      <c r="Q20" s="328">
        <f t="shared" si="9"/>
        <v>78.20400000000001</v>
      </c>
      <c r="R20" s="331">
        <f t="shared" si="10"/>
        <v>46.9224</v>
      </c>
      <c r="S20" s="332">
        <f t="shared" si="11"/>
        <v>23.4612</v>
      </c>
      <c r="T20" s="332">
        <f t="shared" si="12"/>
        <v>7.8204</v>
      </c>
      <c r="U20" s="332">
        <f t="shared" si="13"/>
        <v>0</v>
      </c>
      <c r="V20" s="333">
        <f t="shared" si="14"/>
        <v>485.49479999999994</v>
      </c>
      <c r="W20" s="321">
        <f t="shared" si="15"/>
        <v>0.26</v>
      </c>
      <c r="X20" s="298"/>
      <c r="Y20" s="298"/>
      <c r="Z20" s="534">
        <v>0.26</v>
      </c>
      <c r="AA20" s="298"/>
      <c r="AC20" s="328"/>
      <c r="AD20" s="329"/>
      <c r="AE20" s="329"/>
      <c r="AF20" s="329"/>
      <c r="AG20" s="330"/>
      <c r="AH20" s="331"/>
      <c r="AI20" s="331"/>
      <c r="AJ20" s="331"/>
      <c r="AK20" s="328"/>
      <c r="AL20" s="331"/>
      <c r="AM20" s="332"/>
      <c r="AN20" s="332"/>
      <c r="AO20" s="332"/>
      <c r="AP20" s="333"/>
      <c r="AQ20" s="298">
        <v>90</v>
      </c>
    </row>
    <row r="21" spans="1:43" ht="20.25" customHeight="1">
      <c r="A21" s="319">
        <v>15</v>
      </c>
      <c r="B21" s="320" t="s">
        <v>291</v>
      </c>
      <c r="C21" s="321">
        <f t="shared" si="0"/>
        <v>10.489999999999998</v>
      </c>
      <c r="D21" s="298"/>
      <c r="E21" s="298">
        <v>2</v>
      </c>
      <c r="F21" s="298">
        <v>3.35</v>
      </c>
      <c r="G21" s="298">
        <v>5.14</v>
      </c>
      <c r="H21" s="298"/>
      <c r="I21" s="328">
        <f t="shared" si="1"/>
        <v>346.0799999999999</v>
      </c>
      <c r="J21" s="329">
        <f t="shared" si="2"/>
        <v>138.432</v>
      </c>
      <c r="K21" s="329">
        <f t="shared" si="3"/>
        <v>69.216</v>
      </c>
      <c r="L21" s="329">
        <f t="shared" si="4"/>
        <v>138.432</v>
      </c>
      <c r="M21" s="330">
        <f t="shared" si="5"/>
        <v>374.26200000000006</v>
      </c>
      <c r="N21" s="331">
        <f t="shared" si="6"/>
        <v>112.27860000000003</v>
      </c>
      <c r="O21" s="331">
        <f t="shared" si="7"/>
        <v>37.4262</v>
      </c>
      <c r="P21" s="331">
        <f t="shared" si="8"/>
        <v>224.55720000000005</v>
      </c>
      <c r="Q21" s="328">
        <f t="shared" si="9"/>
        <v>574.2408</v>
      </c>
      <c r="R21" s="331">
        <f t="shared" si="10"/>
        <v>344.54448</v>
      </c>
      <c r="S21" s="332">
        <f t="shared" si="11"/>
        <v>172.27224</v>
      </c>
      <c r="T21" s="332">
        <f t="shared" si="12"/>
        <v>57.42408000000001</v>
      </c>
      <c r="U21" s="332">
        <f t="shared" si="13"/>
        <v>0</v>
      </c>
      <c r="V21" s="333">
        <f t="shared" si="14"/>
        <v>1294.5828000000001</v>
      </c>
      <c r="W21" s="321">
        <f t="shared" si="15"/>
        <v>0</v>
      </c>
      <c r="X21" s="298"/>
      <c r="Y21" s="298"/>
      <c r="Z21" s="298"/>
      <c r="AA21" s="298"/>
      <c r="AB21" s="298"/>
      <c r="AC21" s="328"/>
      <c r="AD21" s="329"/>
      <c r="AE21" s="329"/>
      <c r="AF21" s="329"/>
      <c r="AG21" s="330"/>
      <c r="AH21" s="331"/>
      <c r="AI21" s="331"/>
      <c r="AJ21" s="331"/>
      <c r="AK21" s="328"/>
      <c r="AL21" s="331"/>
      <c r="AM21" s="332"/>
      <c r="AN21" s="332"/>
      <c r="AO21" s="332"/>
      <c r="AP21" s="333"/>
      <c r="AQ21" s="295"/>
    </row>
    <row r="22" spans="1:43" ht="20.25" customHeight="1">
      <c r="A22" s="319">
        <v>16</v>
      </c>
      <c r="B22" s="320" t="s">
        <v>292</v>
      </c>
      <c r="C22" s="321">
        <f t="shared" si="0"/>
        <v>10.445</v>
      </c>
      <c r="D22" s="298"/>
      <c r="E22" s="298">
        <v>3.5</v>
      </c>
      <c r="F22" s="298">
        <v>1.13</v>
      </c>
      <c r="G22" s="298">
        <v>5.815</v>
      </c>
      <c r="H22" s="298"/>
      <c r="I22" s="328">
        <f t="shared" si="1"/>
        <v>605.64</v>
      </c>
      <c r="J22" s="329">
        <f t="shared" si="2"/>
        <v>242.256</v>
      </c>
      <c r="K22" s="329">
        <f t="shared" si="3"/>
        <v>121.128</v>
      </c>
      <c r="L22" s="329">
        <f t="shared" si="4"/>
        <v>242.256</v>
      </c>
      <c r="M22" s="330">
        <f t="shared" si="5"/>
        <v>126.24360000000001</v>
      </c>
      <c r="N22" s="331">
        <f t="shared" si="6"/>
        <v>37.87308</v>
      </c>
      <c r="O22" s="331">
        <f t="shared" si="7"/>
        <v>12.624360000000001</v>
      </c>
      <c r="P22" s="331">
        <f t="shared" si="8"/>
        <v>75.74616</v>
      </c>
      <c r="Q22" s="328">
        <f t="shared" si="9"/>
        <v>649.6518000000001</v>
      </c>
      <c r="R22" s="331">
        <f t="shared" si="10"/>
        <v>389.79108</v>
      </c>
      <c r="S22" s="332">
        <f t="shared" si="11"/>
        <v>194.89554</v>
      </c>
      <c r="T22" s="332">
        <f t="shared" si="12"/>
        <v>64.96518</v>
      </c>
      <c r="U22" s="332">
        <f t="shared" si="13"/>
        <v>0</v>
      </c>
      <c r="V22" s="333">
        <f t="shared" si="14"/>
        <v>1381.5354000000002</v>
      </c>
      <c r="W22" s="321">
        <f t="shared" si="15"/>
        <v>0</v>
      </c>
      <c r="X22" s="298"/>
      <c r="Y22" s="298"/>
      <c r="Z22" s="298"/>
      <c r="AA22" s="298"/>
      <c r="AB22" s="298"/>
      <c r="AC22" s="328"/>
      <c r="AD22" s="329"/>
      <c r="AE22" s="329"/>
      <c r="AF22" s="329"/>
      <c r="AG22" s="330"/>
      <c r="AH22" s="331"/>
      <c r="AI22" s="331"/>
      <c r="AJ22" s="331"/>
      <c r="AK22" s="328"/>
      <c r="AL22" s="331"/>
      <c r="AM22" s="332"/>
      <c r="AN22" s="332"/>
      <c r="AO22" s="332"/>
      <c r="AP22" s="333"/>
      <c r="AQ22" s="295"/>
    </row>
    <row r="23" spans="1:43" ht="20.25" customHeight="1">
      <c r="A23" s="334">
        <v>17</v>
      </c>
      <c r="B23" s="335" t="s">
        <v>293</v>
      </c>
      <c r="C23" s="336">
        <f t="shared" si="0"/>
        <v>2.3</v>
      </c>
      <c r="D23" s="337"/>
      <c r="E23" s="337"/>
      <c r="F23" s="337">
        <v>1.75</v>
      </c>
      <c r="G23" s="337">
        <v>0.55</v>
      </c>
      <c r="H23" s="337"/>
      <c r="I23" s="338">
        <f t="shared" si="1"/>
        <v>0</v>
      </c>
      <c r="J23" s="339">
        <f t="shared" si="2"/>
        <v>0</v>
      </c>
      <c r="K23" s="339">
        <f t="shared" si="3"/>
        <v>0</v>
      </c>
      <c r="L23" s="339">
        <f t="shared" si="4"/>
        <v>0</v>
      </c>
      <c r="M23" s="340">
        <f t="shared" si="5"/>
        <v>195.51000000000002</v>
      </c>
      <c r="N23" s="341">
        <f t="shared" si="6"/>
        <v>58.653000000000006</v>
      </c>
      <c r="O23" s="341">
        <f t="shared" si="7"/>
        <v>19.551000000000002</v>
      </c>
      <c r="P23" s="341">
        <f t="shared" si="8"/>
        <v>117.30600000000001</v>
      </c>
      <c r="Q23" s="338">
        <f t="shared" si="9"/>
        <v>61.446000000000005</v>
      </c>
      <c r="R23" s="341">
        <f t="shared" si="10"/>
        <v>36.8676</v>
      </c>
      <c r="S23" s="342">
        <f t="shared" si="11"/>
        <v>18.4338</v>
      </c>
      <c r="T23" s="342">
        <f t="shared" si="12"/>
        <v>6.144600000000001</v>
      </c>
      <c r="U23" s="342">
        <f t="shared" si="13"/>
        <v>0</v>
      </c>
      <c r="V23" s="343">
        <f t="shared" si="14"/>
        <v>256.956</v>
      </c>
      <c r="W23" s="321">
        <f t="shared" si="15"/>
        <v>0</v>
      </c>
      <c r="X23" s="337"/>
      <c r="Y23" s="337"/>
      <c r="Z23" s="337"/>
      <c r="AA23" s="337"/>
      <c r="AB23" s="337"/>
      <c r="AC23" s="338"/>
      <c r="AD23" s="339"/>
      <c r="AE23" s="339"/>
      <c r="AF23" s="339"/>
      <c r="AG23" s="340"/>
      <c r="AH23" s="341"/>
      <c r="AI23" s="341"/>
      <c r="AJ23" s="341"/>
      <c r="AK23" s="338"/>
      <c r="AL23" s="341"/>
      <c r="AM23" s="342"/>
      <c r="AN23" s="342"/>
      <c r="AO23" s="342"/>
      <c r="AP23" s="343"/>
      <c r="AQ23" s="344"/>
    </row>
    <row r="24" spans="1:43" ht="20.25" customHeight="1">
      <c r="A24" s="345"/>
      <c r="B24" s="346" t="s">
        <v>294</v>
      </c>
      <c r="C24" s="347">
        <f aca="true" t="shared" si="16" ref="C24:H24">SUM(C7:C23)</f>
        <v>115.859</v>
      </c>
      <c r="D24" s="347">
        <f t="shared" si="16"/>
        <v>0</v>
      </c>
      <c r="E24" s="347">
        <f t="shared" si="16"/>
        <v>40.617</v>
      </c>
      <c r="F24" s="347">
        <f t="shared" si="16"/>
        <v>49.38200000000001</v>
      </c>
      <c r="G24" s="347">
        <f t="shared" si="16"/>
        <v>23.6</v>
      </c>
      <c r="H24" s="347">
        <f t="shared" si="16"/>
        <v>2.26</v>
      </c>
      <c r="I24" s="348">
        <f aca="true" t="shared" si="17" ref="I24:U24">SUM(I7:I23)</f>
        <v>7028.36568</v>
      </c>
      <c r="J24" s="349">
        <f t="shared" si="17"/>
        <v>2811.346272</v>
      </c>
      <c r="K24" s="349">
        <f t="shared" si="17"/>
        <v>1405.673136</v>
      </c>
      <c r="L24" s="349">
        <f t="shared" si="17"/>
        <v>2811.346272</v>
      </c>
      <c r="M24" s="349">
        <f t="shared" si="17"/>
        <v>5516.957040000001</v>
      </c>
      <c r="N24" s="349">
        <f t="shared" si="17"/>
        <v>1655.0871120000002</v>
      </c>
      <c r="O24" s="349">
        <f t="shared" si="17"/>
        <v>551.6957040000001</v>
      </c>
      <c r="P24" s="349">
        <f t="shared" si="17"/>
        <v>3310.1742240000003</v>
      </c>
      <c r="Q24" s="349">
        <f t="shared" si="17"/>
        <v>2636.5920000000006</v>
      </c>
      <c r="R24" s="349">
        <f t="shared" si="17"/>
        <v>1581.9552</v>
      </c>
      <c r="S24" s="349">
        <f t="shared" si="17"/>
        <v>790.9776</v>
      </c>
      <c r="T24" s="349">
        <f t="shared" si="17"/>
        <v>263.65920000000006</v>
      </c>
      <c r="U24" s="349">
        <f t="shared" si="17"/>
        <v>288.5568</v>
      </c>
      <c r="V24" s="349">
        <f>ROUND(SUM(V7:V23),-1)</f>
        <v>15470</v>
      </c>
      <c r="W24" s="347">
        <f aca="true" t="shared" si="18" ref="W24:AB24">SUM(W7:W23)</f>
        <v>0.26</v>
      </c>
      <c r="X24" s="347">
        <f t="shared" si="18"/>
        <v>0</v>
      </c>
      <c r="Y24" s="347">
        <f t="shared" si="18"/>
        <v>0</v>
      </c>
      <c r="Z24" s="347">
        <f t="shared" si="18"/>
        <v>0.26</v>
      </c>
      <c r="AA24" s="347">
        <f t="shared" si="18"/>
        <v>0</v>
      </c>
      <c r="AB24" s="347">
        <f t="shared" si="18"/>
        <v>0</v>
      </c>
      <c r="AC24" s="349">
        <f aca="true" t="shared" si="19" ref="AC24:AQ24">ROUND(SUM(AC7:AC23),-1)</f>
        <v>0</v>
      </c>
      <c r="AD24" s="349">
        <f t="shared" si="19"/>
        <v>0</v>
      </c>
      <c r="AE24" s="349">
        <f t="shared" si="19"/>
        <v>0</v>
      </c>
      <c r="AF24" s="349">
        <f t="shared" si="19"/>
        <v>0</v>
      </c>
      <c r="AG24" s="349">
        <f t="shared" si="19"/>
        <v>0</v>
      </c>
      <c r="AH24" s="349">
        <f t="shared" si="19"/>
        <v>0</v>
      </c>
      <c r="AI24" s="349">
        <f t="shared" si="19"/>
        <v>0</v>
      </c>
      <c r="AJ24" s="349">
        <f t="shared" si="19"/>
        <v>0</v>
      </c>
      <c r="AK24" s="349">
        <f t="shared" si="19"/>
        <v>0</v>
      </c>
      <c r="AL24" s="349">
        <f t="shared" si="19"/>
        <v>0</v>
      </c>
      <c r="AM24" s="349">
        <f t="shared" si="19"/>
        <v>0</v>
      </c>
      <c r="AN24" s="349">
        <f t="shared" si="19"/>
        <v>0</v>
      </c>
      <c r="AO24" s="349">
        <f t="shared" si="19"/>
        <v>0</v>
      </c>
      <c r="AP24" s="349">
        <f t="shared" si="19"/>
        <v>0</v>
      </c>
      <c r="AQ24" s="349">
        <f t="shared" si="19"/>
        <v>90</v>
      </c>
    </row>
    <row r="25" spans="1:18" ht="15.75" customHeight="1">
      <c r="A25" s="350"/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</row>
    <row r="26" spans="1:21" ht="19.5" customHeight="1">
      <c r="A26" s="350"/>
      <c r="B26" s="352"/>
      <c r="C26" s="352"/>
      <c r="D26" s="352"/>
      <c r="E26" s="353"/>
      <c r="F26" s="354"/>
      <c r="G26" s="354"/>
      <c r="H26" s="353"/>
      <c r="I26" s="353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</row>
    <row r="27" spans="5:21" ht="18" customHeight="1"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</row>
    <row r="28" spans="5:9" ht="15.75">
      <c r="E28" s="357"/>
      <c r="F28" s="357"/>
      <c r="G28" s="357"/>
      <c r="H28" s="358"/>
      <c r="I28" s="358"/>
    </row>
    <row r="29" spans="5:7" ht="15.75">
      <c r="E29" s="357"/>
      <c r="F29" s="357"/>
      <c r="G29" s="357"/>
    </row>
  </sheetData>
  <sheetProtection/>
  <mergeCells count="21">
    <mergeCell ref="AC5:AO5"/>
    <mergeCell ref="AP5:AP6"/>
    <mergeCell ref="AQ5:AQ6"/>
    <mergeCell ref="I6:L6"/>
    <mergeCell ref="M6:P6"/>
    <mergeCell ref="Q6:T6"/>
    <mergeCell ref="AC6:AF6"/>
    <mergeCell ref="AG6:AJ6"/>
    <mergeCell ref="AK6:AN6"/>
    <mergeCell ref="A5:A6"/>
    <mergeCell ref="B5:B6"/>
    <mergeCell ref="C5:H5"/>
    <mergeCell ref="I5:U5"/>
    <mergeCell ref="V5:V6"/>
    <mergeCell ref="W5:AB5"/>
    <mergeCell ref="A1:I1"/>
    <mergeCell ref="M1:Q1"/>
    <mergeCell ref="W1:AB1"/>
    <mergeCell ref="A2:I2"/>
    <mergeCell ref="M2:Q2"/>
    <mergeCell ref="W2:AB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Q25"/>
  <sheetViews>
    <sheetView zoomScalePageLayoutView="0" workbookViewId="0" topLeftCell="A7">
      <selection activeCell="O17" sqref="O17"/>
    </sheetView>
  </sheetViews>
  <sheetFormatPr defaultColWidth="9.00390625" defaultRowHeight="15.75"/>
  <cols>
    <col min="1" max="1" width="4.375" style="0" customWidth="1"/>
    <col min="2" max="2" width="15.75390625" style="0" customWidth="1"/>
    <col min="3" max="4" width="6.00390625" style="0" customWidth="1"/>
    <col min="5" max="5" width="8.25390625" style="0" customWidth="1"/>
    <col min="6" max="7" width="8.00390625" style="0" customWidth="1"/>
    <col min="8" max="8" width="7.25390625" style="0" customWidth="1"/>
    <col min="9" max="9" width="10.75390625" style="0" customWidth="1"/>
    <col min="10" max="10" width="9.125" style="0" customWidth="1"/>
    <col min="11" max="11" width="8.375" style="0" customWidth="1"/>
    <col min="12" max="12" width="8.625" style="0" customWidth="1"/>
    <col min="13" max="13" width="8.375" style="0" customWidth="1"/>
    <col min="14" max="14" width="9.25390625" style="0" customWidth="1"/>
    <col min="15" max="15" width="10.00390625" style="0" customWidth="1"/>
    <col min="16" max="16" width="8.25390625" style="0" customWidth="1"/>
    <col min="17" max="17" width="7.25390625" style="0" customWidth="1"/>
  </cols>
  <sheetData>
    <row r="1" spans="1:17" s="359" customFormat="1" ht="52.5" customHeight="1">
      <c r="A1" s="779" t="s">
        <v>295</v>
      </c>
      <c r="B1" s="780"/>
      <c r="C1" s="780"/>
      <c r="D1" s="780"/>
      <c r="E1" s="780"/>
      <c r="F1" s="780"/>
      <c r="G1" s="780"/>
      <c r="H1" s="779" t="s">
        <v>296</v>
      </c>
      <c r="I1" s="779"/>
      <c r="J1" s="779"/>
      <c r="K1" s="779"/>
      <c r="L1" s="779"/>
      <c r="M1" s="779"/>
      <c r="N1" s="779"/>
      <c r="O1" s="779"/>
      <c r="P1" s="779"/>
      <c r="Q1" s="779"/>
    </row>
    <row r="2" s="359" customFormat="1" ht="5.25" customHeight="1" hidden="1"/>
    <row r="3" spans="1:17" s="359" customFormat="1" ht="38.25" customHeight="1" hidden="1">
      <c r="A3" s="781" t="s">
        <v>297</v>
      </c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</row>
    <row r="4" s="359" customFormat="1" ht="11.25" customHeight="1"/>
    <row r="5" spans="1:17" s="359" customFormat="1" ht="39.75" customHeight="1">
      <c r="A5" s="761" t="s">
        <v>5</v>
      </c>
      <c r="B5" s="719" t="s">
        <v>298</v>
      </c>
      <c r="C5" s="784" t="s">
        <v>7</v>
      </c>
      <c r="D5" s="785"/>
      <c r="E5" s="785"/>
      <c r="F5" s="785"/>
      <c r="G5" s="785"/>
      <c r="H5" s="786"/>
      <c r="I5" s="719" t="s">
        <v>299</v>
      </c>
      <c r="J5" s="787" t="s">
        <v>462</v>
      </c>
      <c r="K5" s="788"/>
      <c r="L5" s="788"/>
      <c r="M5" s="788"/>
      <c r="N5" s="788"/>
      <c r="O5" s="789"/>
      <c r="P5" s="719" t="s">
        <v>300</v>
      </c>
      <c r="Q5" s="719" t="s">
        <v>301</v>
      </c>
    </row>
    <row r="6" spans="1:17" s="359" customFormat="1" ht="18" customHeight="1">
      <c r="A6" s="782"/>
      <c r="B6" s="783"/>
      <c r="C6" s="719" t="s">
        <v>302</v>
      </c>
      <c r="D6" s="519"/>
      <c r="E6" s="787" t="s">
        <v>10</v>
      </c>
      <c r="F6" s="788"/>
      <c r="G6" s="788"/>
      <c r="H6" s="789"/>
      <c r="I6" s="783"/>
      <c r="J6" s="719" t="s">
        <v>303</v>
      </c>
      <c r="K6" s="787" t="s">
        <v>10</v>
      </c>
      <c r="L6" s="788"/>
      <c r="M6" s="788"/>
      <c r="N6" s="789"/>
      <c r="O6" s="719" t="s">
        <v>304</v>
      </c>
      <c r="P6" s="782"/>
      <c r="Q6" s="782"/>
    </row>
    <row r="7" spans="1:17" s="359" customFormat="1" ht="107.25" customHeight="1">
      <c r="A7" s="762"/>
      <c r="B7" s="720"/>
      <c r="C7" s="762"/>
      <c r="D7" s="287"/>
      <c r="E7" s="79" t="s">
        <v>305</v>
      </c>
      <c r="F7" s="79" t="s">
        <v>306</v>
      </c>
      <c r="G7" s="79" t="s">
        <v>307</v>
      </c>
      <c r="H7" s="79" t="s">
        <v>308</v>
      </c>
      <c r="I7" s="720"/>
      <c r="J7" s="762"/>
      <c r="K7" s="79" t="s">
        <v>305</v>
      </c>
      <c r="L7" s="79" t="s">
        <v>306</v>
      </c>
      <c r="M7" s="79" t="s">
        <v>307</v>
      </c>
      <c r="N7" s="79" t="s">
        <v>308</v>
      </c>
      <c r="O7" s="762"/>
      <c r="P7" s="762"/>
      <c r="Q7" s="762"/>
    </row>
    <row r="8" spans="1:17" s="359" customFormat="1" ht="33" customHeight="1">
      <c r="A8" s="360">
        <v>1</v>
      </c>
      <c r="B8" s="360">
        <v>2</v>
      </c>
      <c r="C8" s="360">
        <v>3</v>
      </c>
      <c r="D8" s="360"/>
      <c r="E8" s="360">
        <v>4</v>
      </c>
      <c r="F8" s="360">
        <v>5</v>
      </c>
      <c r="G8" s="360">
        <v>6</v>
      </c>
      <c r="H8" s="360">
        <v>7</v>
      </c>
      <c r="I8" s="360">
        <v>8</v>
      </c>
      <c r="J8" s="360">
        <v>9</v>
      </c>
      <c r="K8" s="360">
        <v>10</v>
      </c>
      <c r="L8" s="360">
        <v>11</v>
      </c>
      <c r="M8" s="360">
        <v>12</v>
      </c>
      <c r="N8" s="360">
        <v>13</v>
      </c>
      <c r="O8" s="360">
        <v>14</v>
      </c>
      <c r="P8" s="361" t="s">
        <v>309</v>
      </c>
      <c r="Q8" s="362">
        <v>16</v>
      </c>
    </row>
    <row r="9" spans="1:17" s="359" customFormat="1" ht="19.5" customHeight="1">
      <c r="A9" s="363">
        <v>1</v>
      </c>
      <c r="B9" s="364" t="s">
        <v>310</v>
      </c>
      <c r="C9" s="365">
        <f>SUM(E9:H9)</f>
        <v>5</v>
      </c>
      <c r="D9" s="365"/>
      <c r="E9" s="366">
        <v>1.5</v>
      </c>
      <c r="F9" s="366">
        <v>0</v>
      </c>
      <c r="G9" s="366">
        <v>2.5</v>
      </c>
      <c r="H9" s="366">
        <v>1</v>
      </c>
      <c r="I9" s="367">
        <v>666.54</v>
      </c>
      <c r="J9" s="366">
        <f>SUM(K9:N9)</f>
        <v>1.15</v>
      </c>
      <c r="K9" s="366">
        <v>0.25</v>
      </c>
      <c r="L9" s="366"/>
      <c r="M9" s="366">
        <v>0.4</v>
      </c>
      <c r="N9" s="366">
        <v>0.5</v>
      </c>
      <c r="O9" s="368">
        <v>210</v>
      </c>
      <c r="P9" s="369">
        <f aca="true" t="shared" si="0" ref="P9:P17">J9/C9*100</f>
        <v>23</v>
      </c>
      <c r="Q9" s="364"/>
    </row>
    <row r="10" spans="1:17" s="359" customFormat="1" ht="19.5" customHeight="1">
      <c r="A10" s="363">
        <v>2</v>
      </c>
      <c r="B10" s="364" t="s">
        <v>311</v>
      </c>
      <c r="C10" s="370">
        <f aca="true" t="shared" si="1" ref="C10:C15">SUM(E10:G10)</f>
        <v>5</v>
      </c>
      <c r="D10" s="370"/>
      <c r="E10" s="366">
        <v>3.83</v>
      </c>
      <c r="F10" s="366">
        <v>0.72</v>
      </c>
      <c r="G10" s="366">
        <v>0.45</v>
      </c>
      <c r="H10" s="366"/>
      <c r="I10" s="367">
        <v>793.46</v>
      </c>
      <c r="J10" s="366">
        <f aca="true" t="shared" si="2" ref="J10:J16">SUM(K10:N10)</f>
        <v>1.65</v>
      </c>
      <c r="K10" s="366">
        <v>1.5</v>
      </c>
      <c r="L10" s="366">
        <v>0.15</v>
      </c>
      <c r="M10" s="366"/>
      <c r="N10" s="366"/>
      <c r="O10" s="368">
        <v>252</v>
      </c>
      <c r="P10" s="369">
        <f t="shared" si="0"/>
        <v>32.99999999999999</v>
      </c>
      <c r="Q10" s="364"/>
    </row>
    <row r="11" spans="1:17" s="359" customFormat="1" ht="19.5" customHeight="1">
      <c r="A11" s="363">
        <v>3</v>
      </c>
      <c r="B11" s="364" t="s">
        <v>312</v>
      </c>
      <c r="C11" s="371">
        <f t="shared" si="1"/>
        <v>9</v>
      </c>
      <c r="D11" s="371"/>
      <c r="E11" s="366">
        <v>3.5</v>
      </c>
      <c r="F11" s="366">
        <v>5</v>
      </c>
      <c r="G11" s="366">
        <v>0.5</v>
      </c>
      <c r="H11" s="366"/>
      <c r="I11" s="367">
        <v>1220.1</v>
      </c>
      <c r="J11" s="366">
        <f t="shared" si="2"/>
        <v>3.5</v>
      </c>
      <c r="K11" s="366">
        <v>1</v>
      </c>
      <c r="L11" s="366">
        <v>2.1</v>
      </c>
      <c r="M11" s="366">
        <v>0.4</v>
      </c>
      <c r="N11" s="366"/>
      <c r="O11" s="368">
        <v>507</v>
      </c>
      <c r="P11" s="369">
        <f t="shared" si="0"/>
        <v>38.88888888888889</v>
      </c>
      <c r="Q11" s="364"/>
    </row>
    <row r="12" spans="1:17" s="359" customFormat="1" ht="19.5" customHeight="1">
      <c r="A12" s="363">
        <v>4</v>
      </c>
      <c r="B12" s="364" t="s">
        <v>313</v>
      </c>
      <c r="C12" s="370">
        <f t="shared" si="1"/>
        <v>5</v>
      </c>
      <c r="D12" s="370"/>
      <c r="E12" s="366"/>
      <c r="F12" s="366">
        <v>5</v>
      </c>
      <c r="G12" s="366"/>
      <c r="H12" s="366"/>
      <c r="I12" s="367">
        <v>558.6</v>
      </c>
      <c r="J12" s="366">
        <f t="shared" si="2"/>
        <v>0.5</v>
      </c>
      <c r="K12" s="366"/>
      <c r="L12" s="366">
        <v>0.5</v>
      </c>
      <c r="M12" s="366"/>
      <c r="N12" s="366"/>
      <c r="O12" s="368">
        <v>75</v>
      </c>
      <c r="P12" s="369">
        <f t="shared" si="0"/>
        <v>10</v>
      </c>
      <c r="Q12" s="364"/>
    </row>
    <row r="13" spans="1:17" s="359" customFormat="1" ht="19.5" customHeight="1">
      <c r="A13" s="363">
        <v>5</v>
      </c>
      <c r="B13" s="364" t="s">
        <v>314</v>
      </c>
      <c r="C13" s="370">
        <f t="shared" si="1"/>
        <v>7</v>
      </c>
      <c r="D13" s="370"/>
      <c r="E13" s="366">
        <v>0.3</v>
      </c>
      <c r="F13" s="366">
        <v>6.25</v>
      </c>
      <c r="G13" s="366">
        <v>0.45</v>
      </c>
      <c r="H13" s="366"/>
      <c r="I13" s="367">
        <v>800.44</v>
      </c>
      <c r="J13" s="366">
        <f t="shared" si="2"/>
        <v>0.7</v>
      </c>
      <c r="K13" s="366"/>
      <c r="L13" s="366">
        <v>0.7</v>
      </c>
      <c r="M13" s="366"/>
      <c r="N13" s="366"/>
      <c r="O13" s="368">
        <v>110</v>
      </c>
      <c r="P13" s="369">
        <f t="shared" si="0"/>
        <v>10</v>
      </c>
      <c r="Q13" s="364"/>
    </row>
    <row r="14" spans="1:17" s="359" customFormat="1" ht="19.5" customHeight="1">
      <c r="A14" s="363">
        <v>6</v>
      </c>
      <c r="B14" s="364" t="s">
        <v>315</v>
      </c>
      <c r="C14" s="370">
        <f t="shared" si="1"/>
        <v>5</v>
      </c>
      <c r="D14" s="520"/>
      <c r="E14" s="372">
        <v>1.95</v>
      </c>
      <c r="F14" s="373">
        <v>1.41</v>
      </c>
      <c r="G14" s="373">
        <v>1.64</v>
      </c>
      <c r="H14" s="366"/>
      <c r="I14" s="367">
        <v>678.17</v>
      </c>
      <c r="J14" s="366">
        <f t="shared" si="2"/>
        <v>0.59</v>
      </c>
      <c r="K14" s="366">
        <v>0.12</v>
      </c>
      <c r="L14" s="366">
        <v>0.11</v>
      </c>
      <c r="M14" s="366">
        <v>0.36</v>
      </c>
      <c r="N14" s="366"/>
      <c r="O14" s="368">
        <v>116</v>
      </c>
      <c r="P14" s="369">
        <f t="shared" si="0"/>
        <v>11.799999999999999</v>
      </c>
      <c r="Q14" s="364"/>
    </row>
    <row r="15" spans="1:17" s="359" customFormat="1" ht="19.5" customHeight="1">
      <c r="A15" s="363">
        <v>7</v>
      </c>
      <c r="B15" s="364" t="s">
        <v>316</v>
      </c>
      <c r="C15" s="365">
        <f t="shared" si="1"/>
        <v>6</v>
      </c>
      <c r="D15" s="365"/>
      <c r="E15" s="374">
        <v>1.374</v>
      </c>
      <c r="F15" s="374">
        <v>0.87</v>
      </c>
      <c r="G15" s="374">
        <v>3.756</v>
      </c>
      <c r="H15" s="366"/>
      <c r="I15" s="367">
        <v>754.57</v>
      </c>
      <c r="J15" s="366">
        <f t="shared" si="2"/>
        <v>4.4</v>
      </c>
      <c r="K15" s="366">
        <v>0.4</v>
      </c>
      <c r="L15" s="375">
        <v>0.5</v>
      </c>
      <c r="M15" s="366">
        <v>3.5</v>
      </c>
      <c r="N15" s="366"/>
      <c r="O15" s="368">
        <v>567</v>
      </c>
      <c r="P15" s="369">
        <f t="shared" si="0"/>
        <v>73.33333333333334</v>
      </c>
      <c r="Q15" s="364"/>
    </row>
    <row r="16" spans="1:17" s="359" customFormat="1" ht="19.5" customHeight="1">
      <c r="A16" s="363">
        <v>8</v>
      </c>
      <c r="B16" s="364" t="s">
        <v>317</v>
      </c>
      <c r="C16" s="365">
        <f>SUM(E16:G16)</f>
        <v>6</v>
      </c>
      <c r="D16" s="365"/>
      <c r="E16" s="366">
        <v>1.15</v>
      </c>
      <c r="F16" s="366">
        <v>0.97</v>
      </c>
      <c r="G16" s="366">
        <v>3.88</v>
      </c>
      <c r="H16" s="366"/>
      <c r="I16" s="367">
        <v>740.84</v>
      </c>
      <c r="J16" s="366">
        <f t="shared" si="2"/>
        <v>2.92</v>
      </c>
      <c r="K16" s="366">
        <v>0.45</v>
      </c>
      <c r="L16" s="366">
        <v>0.97</v>
      </c>
      <c r="M16" s="366">
        <v>1.5</v>
      </c>
      <c r="N16" s="366"/>
      <c r="O16" s="368">
        <v>400</v>
      </c>
      <c r="P16" s="369">
        <f t="shared" si="0"/>
        <v>48.666666666666664</v>
      </c>
      <c r="Q16" s="364"/>
    </row>
    <row r="17" spans="1:17" s="359" customFormat="1" ht="19.5" customHeight="1">
      <c r="A17" s="777" t="s">
        <v>38</v>
      </c>
      <c r="B17" s="778"/>
      <c r="C17" s="376">
        <f aca="true" t="shared" si="3" ref="C17:O17">SUM(C9:C16)</f>
        <v>48</v>
      </c>
      <c r="D17" s="376"/>
      <c r="E17" s="377">
        <f t="shared" si="3"/>
        <v>13.604000000000001</v>
      </c>
      <c r="F17" s="377">
        <f t="shared" si="3"/>
        <v>20.22</v>
      </c>
      <c r="G17" s="377">
        <f t="shared" si="3"/>
        <v>13.175999999999998</v>
      </c>
      <c r="H17" s="377">
        <f t="shared" si="3"/>
        <v>1</v>
      </c>
      <c r="I17" s="378">
        <f t="shared" si="3"/>
        <v>6212.719999999999</v>
      </c>
      <c r="J17" s="377">
        <f t="shared" si="3"/>
        <v>15.41</v>
      </c>
      <c r="K17" s="377">
        <f t="shared" si="3"/>
        <v>3.72</v>
      </c>
      <c r="L17" s="377">
        <f t="shared" si="3"/>
        <v>5.03</v>
      </c>
      <c r="M17" s="377">
        <f t="shared" si="3"/>
        <v>6.16</v>
      </c>
      <c r="N17" s="377">
        <f t="shared" si="3"/>
        <v>0.5</v>
      </c>
      <c r="O17" s="379">
        <f t="shared" si="3"/>
        <v>2237</v>
      </c>
      <c r="P17" s="380">
        <f t="shared" si="0"/>
        <v>32.104166666666664</v>
      </c>
      <c r="Q17" s="381"/>
    </row>
    <row r="18" spans="1:17" s="359" customFormat="1" ht="18.75">
      <c r="A18" s="382"/>
      <c r="B18" s="383"/>
      <c r="C18" s="383"/>
      <c r="D18" s="383"/>
      <c r="E18" s="383"/>
      <c r="F18" s="383"/>
      <c r="G18" s="383"/>
      <c r="H18" s="383"/>
      <c r="I18" s="383"/>
      <c r="J18" s="790"/>
      <c r="K18" s="790"/>
      <c r="L18" s="790"/>
      <c r="M18" s="790"/>
      <c r="N18" s="790"/>
      <c r="O18" s="790"/>
      <c r="P18" s="790"/>
      <c r="Q18" s="790"/>
    </row>
    <row r="19" spans="10:17" s="359" customFormat="1" ht="18.75">
      <c r="J19" s="384"/>
      <c r="K19" s="385"/>
      <c r="L19" s="385"/>
      <c r="M19" s="385"/>
      <c r="N19" s="385"/>
      <c r="O19" s="385"/>
      <c r="P19" s="385"/>
      <c r="Q19" s="385"/>
    </row>
    <row r="20" spans="10:17" s="359" customFormat="1" ht="18.75">
      <c r="J20" s="386"/>
      <c r="K20" s="386"/>
      <c r="L20" s="386"/>
      <c r="M20" s="386"/>
      <c r="N20" s="386"/>
      <c r="O20" s="386"/>
      <c r="P20" s="386"/>
      <c r="Q20" s="386"/>
    </row>
    <row r="21" spans="10:17" s="359" customFormat="1" ht="18.75">
      <c r="J21" s="386"/>
      <c r="K21" s="386"/>
      <c r="L21" s="386"/>
      <c r="M21" s="386"/>
      <c r="N21" s="386"/>
      <c r="O21" s="386"/>
      <c r="P21" s="386"/>
      <c r="Q21" s="386"/>
    </row>
    <row r="22" s="359" customFormat="1" ht="18.75"/>
    <row r="23" s="359" customFormat="1" ht="18.75"/>
    <row r="24" s="359" customFormat="1" ht="18.75"/>
    <row r="25" spans="10:17" s="359" customFormat="1" ht="18.75">
      <c r="J25" s="723"/>
      <c r="K25" s="723"/>
      <c r="L25" s="723"/>
      <c r="M25" s="723"/>
      <c r="N25" s="723"/>
      <c r="O25" s="723"/>
      <c r="P25" s="723"/>
      <c r="Q25" s="723"/>
    </row>
    <row r="26" s="359" customFormat="1" ht="18.75"/>
    <row r="27" s="359" customFormat="1" ht="18.75"/>
    <row r="28" s="359" customFormat="1" ht="18.75"/>
    <row r="29" s="359" customFormat="1" ht="18.75"/>
    <row r="30" s="359" customFormat="1" ht="18.75"/>
    <row r="31" s="359" customFormat="1" ht="18.75"/>
    <row r="32" s="359" customFormat="1" ht="18.75"/>
    <row r="33" s="359" customFormat="1" ht="18.75"/>
    <row r="34" s="359" customFormat="1" ht="18.75"/>
    <row r="35" s="359" customFormat="1" ht="18.75"/>
    <row r="36" s="359" customFormat="1" ht="18.75"/>
    <row r="37" s="359" customFormat="1" ht="18.75"/>
    <row r="38" s="359" customFormat="1" ht="18.75"/>
    <row r="39" s="359" customFormat="1" ht="18.75"/>
    <row r="40" s="359" customFormat="1" ht="18.75"/>
    <row r="41" s="359" customFormat="1" ht="18.75"/>
    <row r="42" s="359" customFormat="1" ht="18.75"/>
    <row r="43" s="359" customFormat="1" ht="18.75"/>
    <row r="44" s="359" customFormat="1" ht="18.75"/>
    <row r="45" s="359" customFormat="1" ht="18.75"/>
    <row r="46" s="359" customFormat="1" ht="18.75"/>
  </sheetData>
  <sheetProtection/>
  <mergeCells count="18">
    <mergeCell ref="J18:Q18"/>
    <mergeCell ref="J25:Q25"/>
    <mergeCell ref="C6:C7"/>
    <mergeCell ref="E6:H6"/>
    <mergeCell ref="J6:J7"/>
    <mergeCell ref="K6:N6"/>
    <mergeCell ref="O6:O7"/>
    <mergeCell ref="Q5:Q7"/>
    <mergeCell ref="A17:B17"/>
    <mergeCell ref="A1:G1"/>
    <mergeCell ref="H1:Q1"/>
    <mergeCell ref="A3:Q3"/>
    <mergeCell ref="A5:A7"/>
    <mergeCell ref="B5:B7"/>
    <mergeCell ref="C5:H5"/>
    <mergeCell ref="I5:I7"/>
    <mergeCell ref="J5:O5"/>
    <mergeCell ref="P5:P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IT-Technicians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nvt2304™</dc:creator>
  <cp:keywords/>
  <dc:description/>
  <cp:lastModifiedBy>Admin</cp:lastModifiedBy>
  <cp:lastPrinted>2014-08-08T01:30:49Z</cp:lastPrinted>
  <dcterms:created xsi:type="dcterms:W3CDTF">2014-04-24T10:08:07Z</dcterms:created>
  <dcterms:modified xsi:type="dcterms:W3CDTF">2014-08-22T03:02:13Z</dcterms:modified>
  <cp:category/>
  <cp:version/>
  <cp:contentType/>
  <cp:contentStatus/>
</cp:coreProperties>
</file>