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5f810fce05014787" /></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11760" tabRatio="851" firstSheet="4" activeTab="4"/>
  </bookViews>
  <sheets>
    <sheet name="Dinh muc xa" sheetId="101" state="hidden" r:id="rId1"/>
    <sheet name="PB 03(Chi tiết đài báo) " sheetId="95" state="hidden" r:id="rId2"/>
    <sheet name="dự toán 2015 (c Binh)" sheetId="98" state="hidden" r:id="rId3"/>
    <sheet name="Tap huan (VPDP)" sheetId="102" state="hidden" r:id="rId4"/>
    <sheet name="PL1.Tong hop" sheetId="181" r:id="rId5"/>
    <sheet name="PL 2. Nuoc sach VSMT" sheetId="197" r:id="rId6"/>
    <sheet name="PL3.KH chi tiet cac xa" sheetId="191" r:id="rId7"/>
    <sheet name="PL4.Su nghiep huyen" sheetId="199" r:id="rId8"/>
    <sheet name="PL4.CHI TIET XA " sheetId="187" r:id="rId9"/>
  </sheets>
  <externalReferences>
    <externalReference r:id="rId10"/>
  </externalReferences>
  <definedNames>
    <definedName name="_xlnm._FilterDatabase" localSheetId="8" hidden="1">'PL4.CHI TIET XA '!$A$4:$V$257</definedName>
    <definedName name="ad" localSheetId="5">#REF!</definedName>
    <definedName name="ad" localSheetId="6">#REF!</definedName>
    <definedName name="ad" localSheetId="8">#REF!</definedName>
    <definedName name="ad">#REF!</definedName>
    <definedName name="d" localSheetId="5">#REF!</definedName>
    <definedName name="d" localSheetId="6">#REF!</definedName>
    <definedName name="d" localSheetId="8">#REF!</definedName>
    <definedName name="d">#REF!</definedName>
    <definedName name="_xlnm.Print_Area" localSheetId="5">'PL 2. Nuoc sach VSMT'!$A$1:$T$20</definedName>
    <definedName name="_xlnm.Print_Area" localSheetId="4">'PL1.Tong hop'!$A$1:$D$55</definedName>
    <definedName name="_xlnm.Print_Area" localSheetId="6">'PL3.KH chi tiet cac xa'!$A$1:$O$27</definedName>
    <definedName name="_xlnm.Print_Area" localSheetId="8">'PL4.CHI TIET XA '!$A$2:$S$247</definedName>
    <definedName name="_xlnm.Print_Area" localSheetId="7">'PL4.Su nghiep huyen'!$A$1:$H$22</definedName>
    <definedName name="_xlnm.Print_Titles" localSheetId="2">'dự toán 2015 (c Binh)'!$5:$5</definedName>
    <definedName name="_xlnm.Print_Titles" localSheetId="1">'PB 03(Chi tiết đài báo) '!$6:$6</definedName>
    <definedName name="_xlnm.Print_Titles" localSheetId="5">'PL 2. Nuoc sach VSMT'!$6:$7</definedName>
    <definedName name="_xlnm.Print_Titles" localSheetId="4">'PL1.Tong hop'!$4:$5</definedName>
    <definedName name="_xlnm.Print_Titles" localSheetId="8">'PL4.CHI TIET XA '!$4:$5</definedName>
  </definedNames>
  <calcPr calcId="144525"/>
</workbook>
</file>

<file path=xl/calcChain.xml><?xml version="1.0" encoding="utf-8"?>
<calcChain xmlns="http://schemas.openxmlformats.org/spreadsheetml/2006/main">
  <c r="C28" i="181" l="1"/>
  <c r="C18" i="181" l="1"/>
  <c r="F24" i="181"/>
  <c r="C46" i="181"/>
  <c r="C39" i="181"/>
  <c r="C36" i="181"/>
  <c r="C33" i="181"/>
  <c r="C13" i="181"/>
  <c r="D20" i="199"/>
  <c r="Q18" i="199"/>
  <c r="P17" i="199"/>
  <c r="P15" i="199"/>
  <c r="D42" i="199"/>
  <c r="D35" i="199"/>
  <c r="D32" i="199"/>
  <c r="C20" i="199"/>
  <c r="H19" i="199"/>
  <c r="F19" i="199" s="1"/>
  <c r="G19" i="199"/>
  <c r="E19" i="199"/>
  <c r="G18" i="199"/>
  <c r="E18" i="199"/>
  <c r="H18" i="199"/>
  <c r="G17" i="199"/>
  <c r="E17" i="199"/>
  <c r="H17" i="199"/>
  <c r="F17" i="199"/>
  <c r="G16" i="199"/>
  <c r="E16" i="199"/>
  <c r="H16" i="199"/>
  <c r="H15" i="199"/>
  <c r="F15" i="199"/>
  <c r="G15" i="199"/>
  <c r="E15" i="199"/>
  <c r="G14" i="199"/>
  <c r="E14" i="199"/>
  <c r="H14" i="199"/>
  <c r="F14" i="199" s="1"/>
  <c r="H13" i="199"/>
  <c r="G13" i="199"/>
  <c r="F13" i="199"/>
  <c r="E13" i="199"/>
  <c r="G12" i="199"/>
  <c r="E12" i="199"/>
  <c r="H12" i="199"/>
  <c r="G11" i="199"/>
  <c r="E11" i="199"/>
  <c r="H11" i="199"/>
  <c r="G10" i="199"/>
  <c r="E10" i="199"/>
  <c r="H10" i="199"/>
  <c r="F10" i="199"/>
  <c r="H9" i="199"/>
  <c r="G9" i="199"/>
  <c r="F9" i="199"/>
  <c r="E9" i="199"/>
  <c r="A9" i="199"/>
  <c r="A10" i="199"/>
  <c r="A11" i="199" s="1"/>
  <c r="A12" i="199" s="1"/>
  <c r="A13" i="199" s="1"/>
  <c r="A14" i="199" s="1"/>
  <c r="A15" i="199" s="1"/>
  <c r="A16" i="199" s="1"/>
  <c r="A17" i="199" s="1"/>
  <c r="A18" i="199" s="1"/>
  <c r="A19" i="199" s="1"/>
  <c r="G8" i="199"/>
  <c r="E8" i="199"/>
  <c r="H8" i="199"/>
  <c r="F8" i="199" s="1"/>
  <c r="A8" i="199"/>
  <c r="G7" i="199"/>
  <c r="E7" i="199"/>
  <c r="H7" i="199"/>
  <c r="R190" i="197"/>
  <c r="Q191" i="197"/>
  <c r="P191" i="197"/>
  <c r="R15" i="197"/>
  <c r="Q13" i="197"/>
  <c r="P13" i="197"/>
  <c r="P11" i="197"/>
  <c r="D11" i="197"/>
  <c r="E11" i="197"/>
  <c r="E8" i="197"/>
  <c r="F11" i="197"/>
  <c r="G11" i="197"/>
  <c r="H11" i="197"/>
  <c r="I11" i="197"/>
  <c r="J11" i="197"/>
  <c r="K11" i="197"/>
  <c r="L11" i="197"/>
  <c r="M11" i="197"/>
  <c r="M8" i="197"/>
  <c r="N11" i="197"/>
  <c r="N8" i="197"/>
  <c r="R11" i="197"/>
  <c r="U12" i="197"/>
  <c r="Q12" i="197"/>
  <c r="Q11" i="197"/>
  <c r="P12" i="197"/>
  <c r="D15" i="197"/>
  <c r="F15" i="197"/>
  <c r="G15" i="197"/>
  <c r="G8" i="197"/>
  <c r="H15" i="197"/>
  <c r="I15" i="197"/>
  <c r="J15" i="197"/>
  <c r="K15" i="197"/>
  <c r="K8" i="197"/>
  <c r="L15" i="197"/>
  <c r="M15" i="197"/>
  <c r="N15" i="197"/>
  <c r="Q15" i="197"/>
  <c r="O192" i="197"/>
  <c r="O17" i="197"/>
  <c r="P16" i="197"/>
  <c r="P15" i="197"/>
  <c r="O16" i="197"/>
  <c r="Q14" i="197"/>
  <c r="P14" i="197"/>
  <c r="O14" i="197"/>
  <c r="O11" i="197"/>
  <c r="O8" i="197" s="1"/>
  <c r="P9" i="197"/>
  <c r="K9" i="197"/>
  <c r="O9" i="197"/>
  <c r="R9" i="197"/>
  <c r="U9" i="197"/>
  <c r="R18" i="197"/>
  <c r="R8" i="197" s="1"/>
  <c r="R187" i="197"/>
  <c r="Q9" i="197"/>
  <c r="L9" i="197"/>
  <c r="L8" i="197"/>
  <c r="J9" i="197"/>
  <c r="J8" i="197"/>
  <c r="I9" i="197"/>
  <c r="I8" i="197"/>
  <c r="H9" i="197"/>
  <c r="H8" i="197"/>
  <c r="G9" i="197"/>
  <c r="F9" i="197"/>
  <c r="F8" i="197"/>
  <c r="D9" i="197"/>
  <c r="D8" i="197"/>
  <c r="E20" i="191"/>
  <c r="G252" i="187"/>
  <c r="I257" i="187"/>
  <c r="G256" i="187"/>
  <c r="U203" i="187"/>
  <c r="L16" i="191"/>
  <c r="U202" i="187"/>
  <c r="F16" i="191"/>
  <c r="U201" i="187"/>
  <c r="I16" i="191"/>
  <c r="U228" i="187"/>
  <c r="I18" i="191"/>
  <c r="U227" i="187"/>
  <c r="F18" i="191"/>
  <c r="U226" i="187"/>
  <c r="L18" i="191"/>
  <c r="U240" i="187"/>
  <c r="U239" i="187"/>
  <c r="F19" i="191"/>
  <c r="U238" i="187"/>
  <c r="I19" i="191"/>
  <c r="D19" i="191" s="1"/>
  <c r="U15" i="187"/>
  <c r="F7" i="191"/>
  <c r="R6" i="187"/>
  <c r="G257" i="187"/>
  <c r="G255" i="187"/>
  <c r="G254" i="187"/>
  <c r="G253" i="187"/>
  <c r="U172" i="187"/>
  <c r="I15" i="191"/>
  <c r="U171" i="187"/>
  <c r="L15" i="191"/>
  <c r="U170" i="187"/>
  <c r="F15" i="191"/>
  <c r="U154" i="187"/>
  <c r="F14" i="191"/>
  <c r="U153" i="187"/>
  <c r="I14" i="191"/>
  <c r="U152" i="187"/>
  <c r="L14" i="191"/>
  <c r="U126" i="187"/>
  <c r="L13" i="191"/>
  <c r="U125" i="187"/>
  <c r="I13" i="191"/>
  <c r="U124" i="187"/>
  <c r="F13" i="191"/>
  <c r="U101" i="187"/>
  <c r="L12" i="191"/>
  <c r="U72" i="187"/>
  <c r="I11" i="191"/>
  <c r="U71" i="187"/>
  <c r="L11" i="191"/>
  <c r="D11" i="191" s="1"/>
  <c r="U70" i="187"/>
  <c r="F11" i="191"/>
  <c r="U65" i="187"/>
  <c r="F10" i="191"/>
  <c r="U64" i="187"/>
  <c r="L10" i="191"/>
  <c r="U63" i="187"/>
  <c r="I10" i="191"/>
  <c r="U39" i="187"/>
  <c r="F9" i="191"/>
  <c r="U37" i="187"/>
  <c r="L9" i="191"/>
  <c r="U33" i="187"/>
  <c r="F8" i="191"/>
  <c r="U32" i="187"/>
  <c r="I8" i="191"/>
  <c r="U30" i="187"/>
  <c r="L8" i="191"/>
  <c r="U12" i="187"/>
  <c r="U14" i="187"/>
  <c r="I7" i="191"/>
  <c r="B254" i="187"/>
  <c r="E256" i="187"/>
  <c r="F256" i="187"/>
  <c r="D256" i="187"/>
  <c r="S19" i="191"/>
  <c r="R20" i="191"/>
  <c r="P20" i="191"/>
  <c r="U103" i="187"/>
  <c r="F12" i="191"/>
  <c r="U102" i="187"/>
  <c r="I12" i="191"/>
  <c r="D12" i="191" s="1"/>
  <c r="U38" i="187"/>
  <c r="I9" i="191"/>
  <c r="U223" i="187"/>
  <c r="I17" i="191"/>
  <c r="U224" i="187"/>
  <c r="F17" i="191"/>
  <c r="U222" i="187"/>
  <c r="L17" i="191"/>
  <c r="K254" i="187"/>
  <c r="H5" i="102"/>
  <c r="H8" i="102"/>
  <c r="H4" i="102"/>
  <c r="H11" i="102" s="1"/>
  <c r="H9" i="102"/>
  <c r="C6" i="98"/>
  <c r="D6" i="98"/>
  <c r="E7" i="98"/>
  <c r="D9" i="98"/>
  <c r="E11" i="98"/>
  <c r="D12" i="98"/>
  <c r="E12" i="98"/>
  <c r="D16" i="98"/>
  <c r="D17" i="98"/>
  <c r="E17" i="98"/>
  <c r="D18" i="98"/>
  <c r="C20" i="98"/>
  <c r="D20" i="98"/>
  <c r="E20" i="98"/>
  <c r="C33" i="98"/>
  <c r="D33" i="98"/>
  <c r="E33" i="98"/>
  <c r="E39" i="98"/>
  <c r="C41" i="98"/>
  <c r="C44" i="98"/>
  <c r="E44" i="98"/>
  <c r="D46" i="98"/>
  <c r="D44" i="98" s="1"/>
  <c r="D48" i="98"/>
  <c r="C14" i="95"/>
  <c r="C18" i="95"/>
  <c r="C22" i="95"/>
  <c r="C23" i="95"/>
  <c r="C30" i="95"/>
  <c r="C29" i="95"/>
  <c r="C28" i="95" s="1"/>
  <c r="C10" i="95" s="1"/>
  <c r="C7" i="95" s="1"/>
  <c r="C31" i="95"/>
  <c r="C32" i="95"/>
  <c r="C33" i="95"/>
  <c r="C34" i="95"/>
  <c r="C35" i="95"/>
  <c r="F10" i="101"/>
  <c r="D10" i="101"/>
  <c r="I10" i="101"/>
  <c r="G10" i="101"/>
  <c r="R10" i="101"/>
  <c r="D11" i="101"/>
  <c r="G11" i="101"/>
  <c r="C11" i="101"/>
  <c r="I11" i="101"/>
  <c r="R11" i="101"/>
  <c r="D12" i="101"/>
  <c r="F12" i="101"/>
  <c r="I12" i="101"/>
  <c r="R12" i="101"/>
  <c r="G12" i="101"/>
  <c r="C12" i="101" s="1"/>
  <c r="D14" i="101"/>
  <c r="C14" i="101"/>
  <c r="I14" i="101"/>
  <c r="G14" i="101"/>
  <c r="R14" i="101"/>
  <c r="D15" i="101"/>
  <c r="I15" i="101"/>
  <c r="R15" i="101"/>
  <c r="G15" i="101"/>
  <c r="C15" i="101" s="1"/>
  <c r="D17" i="101"/>
  <c r="I17" i="101"/>
  <c r="G17" i="101"/>
  <c r="C17" i="101" s="1"/>
  <c r="R17" i="101"/>
  <c r="D18" i="101"/>
  <c r="I18" i="101"/>
  <c r="R18" i="101"/>
  <c r="G18" i="101"/>
  <c r="C18" i="101" s="1"/>
  <c r="D19" i="101"/>
  <c r="C19" i="101"/>
  <c r="I19" i="101"/>
  <c r="G19" i="101"/>
  <c r="R19" i="101"/>
  <c r="D20" i="101"/>
  <c r="I20" i="101"/>
  <c r="R20" i="101"/>
  <c r="G20" i="101"/>
  <c r="C20" i="101" s="1"/>
  <c r="D21" i="101"/>
  <c r="I21" i="101"/>
  <c r="G21" i="101"/>
  <c r="C21" i="101" s="1"/>
  <c r="R21" i="101"/>
  <c r="D22" i="101"/>
  <c r="I22" i="101"/>
  <c r="R22" i="101"/>
  <c r="G22" i="101"/>
  <c r="C22" i="101" s="1"/>
  <c r="D23" i="101"/>
  <c r="C23" i="101"/>
  <c r="I23" i="101"/>
  <c r="G23" i="101"/>
  <c r="D24" i="101"/>
  <c r="I24" i="101"/>
  <c r="G24" i="101"/>
  <c r="U9" i="187"/>
  <c r="U10" i="187"/>
  <c r="O15" i="197"/>
  <c r="L7" i="191"/>
  <c r="F16" i="199"/>
  <c r="F12" i="199"/>
  <c r="F20" i="199" s="1"/>
  <c r="F18" i="199"/>
  <c r="P8" i="197"/>
  <c r="C10" i="101"/>
  <c r="C24" i="101"/>
  <c r="C39" i="98"/>
  <c r="C50" i="98" s="1"/>
  <c r="D41" i="98"/>
  <c r="D39" i="98"/>
  <c r="E6" i="98"/>
  <c r="F7" i="199"/>
  <c r="F11" i="199"/>
  <c r="C9" i="181"/>
  <c r="C10" i="181" s="1"/>
  <c r="E20" i="199"/>
  <c r="G20" i="199"/>
  <c r="C51" i="181"/>
  <c r="G259" i="187"/>
  <c r="D9" i="191"/>
  <c r="D15" i="191"/>
  <c r="D14" i="191"/>
  <c r="U251" i="187"/>
  <c r="F20" i="191"/>
  <c r="D7" i="191"/>
  <c r="D16" i="191"/>
  <c r="L19" i="191"/>
  <c r="U252" i="187"/>
  <c r="U254" i="187" s="1"/>
  <c r="U253" i="187"/>
  <c r="U7" i="187"/>
  <c r="G48" i="181"/>
  <c r="C12" i="181"/>
  <c r="C32" i="181"/>
  <c r="W5" i="187" l="1"/>
  <c r="W6" i="187" s="1"/>
  <c r="C7" i="181"/>
  <c r="D50" i="98"/>
  <c r="V17" i="187"/>
  <c r="P6" i="191"/>
  <c r="D17" i="191"/>
  <c r="D8" i="191"/>
  <c r="L20" i="191"/>
  <c r="D10" i="191"/>
  <c r="D13" i="191"/>
  <c r="E50" i="98"/>
  <c r="Q8" i="197"/>
  <c r="D18" i="191"/>
  <c r="H20" i="199"/>
  <c r="C52" i="181" s="1"/>
  <c r="C50" i="181" s="1"/>
  <c r="C11" i="181" s="1"/>
  <c r="C6" i="181" s="1"/>
  <c r="I20" i="191"/>
  <c r="S20" i="187" l="1"/>
  <c r="S79" i="187"/>
  <c r="S33" i="187"/>
  <c r="S128" i="187"/>
  <c r="S104" i="187"/>
  <c r="S13" i="187"/>
  <c r="S8" i="187"/>
  <c r="S230" i="187"/>
  <c r="S23" i="187"/>
  <c r="S198" i="187"/>
  <c r="S76" i="187"/>
  <c r="S140" i="187"/>
  <c r="S70" i="187"/>
  <c r="S95" i="187"/>
  <c r="S144" i="187"/>
  <c r="S157" i="187"/>
  <c r="S246" i="187"/>
  <c r="S201" i="187"/>
  <c r="S162" i="187"/>
  <c r="S197" i="187"/>
  <c r="S96" i="187"/>
  <c r="S117" i="187"/>
  <c r="S130" i="187"/>
  <c r="S149" i="187"/>
  <c r="S213" i="187"/>
  <c r="S97" i="187"/>
  <c r="S229" i="187"/>
  <c r="S244" i="187"/>
  <c r="S119" i="187"/>
  <c r="S139" i="187"/>
  <c r="S91" i="187"/>
  <c r="S155" i="187"/>
  <c r="S173" i="187"/>
  <c r="S141" i="187"/>
  <c r="S66" i="187"/>
  <c r="S135" i="187"/>
  <c r="S184" i="187"/>
  <c r="S249" i="187"/>
  <c r="S118" i="187"/>
  <c r="S153" i="187"/>
  <c r="S77" i="187"/>
  <c r="S202" i="187"/>
  <c r="S68" i="187"/>
  <c r="S179" i="187"/>
  <c r="S113" i="187"/>
  <c r="S181" i="187"/>
  <c r="S237" i="187"/>
  <c r="S34" i="187"/>
  <c r="S160" i="187"/>
  <c r="S57" i="187"/>
  <c r="S30" i="187"/>
  <c r="S40" i="187"/>
  <c r="S83" i="187"/>
  <c r="S50" i="187"/>
  <c r="S75" i="187"/>
  <c r="S216" i="187"/>
  <c r="S210" i="187"/>
  <c r="S190" i="187"/>
  <c r="S168" i="187"/>
  <c r="S78" i="187"/>
  <c r="S176" i="187"/>
  <c r="S48" i="187"/>
  <c r="S178" i="187"/>
  <c r="S55" i="187"/>
  <c r="S17" i="187"/>
  <c r="S138" i="187"/>
  <c r="S67" i="187"/>
  <c r="S182" i="187"/>
  <c r="S154" i="187"/>
  <c r="S241" i="187"/>
  <c r="S212" i="187"/>
  <c r="S35" i="187"/>
  <c r="S233" i="187"/>
  <c r="S133" i="187"/>
  <c r="S203" i="187"/>
  <c r="S163" i="187"/>
  <c r="S143" i="187"/>
  <c r="S38" i="187"/>
  <c r="S129" i="187"/>
  <c r="S25" i="187"/>
  <c r="S71" i="187"/>
  <c r="S217" i="187"/>
  <c r="S147" i="187"/>
  <c r="S145" i="187"/>
  <c r="S16" i="187"/>
  <c r="S41" i="187"/>
  <c r="S21" i="187"/>
  <c r="S207" i="187"/>
  <c r="S11" i="187"/>
  <c r="S46" i="187"/>
  <c r="S225" i="187"/>
  <c r="S205" i="187"/>
  <c r="S131" i="187"/>
  <c r="S90" i="187"/>
  <c r="S161" i="187"/>
  <c r="S196" i="187"/>
  <c r="S204" i="187"/>
  <c r="S148" i="187"/>
  <c r="S114" i="187"/>
  <c r="S159" i="187"/>
  <c r="S58" i="187"/>
  <c r="S238" i="187"/>
  <c r="S82" i="187"/>
  <c r="S142" i="187"/>
  <c r="S166" i="187"/>
  <c r="S208" i="187"/>
  <c r="S106" i="187"/>
  <c r="S87" i="187"/>
  <c r="S214" i="187"/>
  <c r="S243" i="187"/>
  <c r="S185" i="187"/>
  <c r="S103" i="187"/>
  <c r="S88" i="187"/>
  <c r="S72" i="187"/>
  <c r="S227" i="187"/>
  <c r="S248" i="187"/>
  <c r="S122" i="187"/>
  <c r="S22" i="187"/>
  <c r="S242" i="187"/>
  <c r="S189" i="187"/>
  <c r="S32" i="187"/>
  <c r="S137" i="187"/>
  <c r="S56" i="187"/>
  <c r="S54" i="187"/>
  <c r="S115" i="187"/>
  <c r="S188" i="187"/>
  <c r="S9" i="187"/>
  <c r="S234" i="187"/>
  <c r="S111" i="187"/>
  <c r="S215" i="187"/>
  <c r="S53" i="187"/>
  <c r="S172" i="187"/>
  <c r="S12" i="187"/>
  <c r="S14" i="187"/>
  <c r="S209" i="187"/>
  <c r="S120" i="187"/>
  <c r="S220" i="187"/>
  <c r="S221" i="187"/>
  <c r="S183" i="187"/>
  <c r="S108" i="187"/>
  <c r="S170" i="187"/>
  <c r="S121" i="187"/>
  <c r="S195" i="187"/>
  <c r="S218" i="187"/>
  <c r="S107" i="187"/>
  <c r="S191" i="187"/>
  <c r="S89" i="187"/>
  <c r="S194" i="187"/>
  <c r="S80" i="187"/>
  <c r="S116" i="187"/>
  <c r="S81" i="187"/>
  <c r="S84" i="187"/>
  <c r="S127" i="187"/>
  <c r="S27" i="187"/>
  <c r="S63" i="187"/>
  <c r="S31" i="187"/>
  <c r="S158" i="187"/>
  <c r="S73" i="187"/>
  <c r="S126" i="187"/>
  <c r="S61" i="187"/>
  <c r="S105" i="187"/>
  <c r="S112" i="187"/>
  <c r="S152" i="187"/>
  <c r="S39" i="187"/>
  <c r="S231" i="187"/>
  <c r="S99" i="187"/>
  <c r="S28" i="187"/>
  <c r="S47" i="187"/>
  <c r="S245" i="187"/>
  <c r="S240" i="187"/>
  <c r="S125" i="187"/>
  <c r="S10" i="187"/>
  <c r="S51" i="187"/>
  <c r="S110" i="187"/>
  <c r="S146" i="187"/>
  <c r="S193" i="187"/>
  <c r="S156" i="187"/>
  <c r="S109" i="187"/>
  <c r="S199" i="187"/>
  <c r="S19" i="187"/>
  <c r="S211" i="187"/>
  <c r="S134" i="187"/>
  <c r="S49" i="187"/>
  <c r="S42" i="187"/>
  <c r="S167" i="187"/>
  <c r="S26" i="187"/>
  <c r="S165" i="187"/>
  <c r="S192" i="187"/>
  <c r="S60" i="187"/>
  <c r="S85" i="187"/>
  <c r="S45" i="187"/>
  <c r="S102" i="187"/>
  <c r="S174" i="187"/>
  <c r="S226" i="187"/>
  <c r="S223" i="187"/>
  <c r="S222" i="187" s="1"/>
  <c r="S93" i="187"/>
  <c r="S150" i="187"/>
  <c r="S24" i="187"/>
  <c r="S247" i="187"/>
  <c r="S86" i="187"/>
  <c r="S239" i="187"/>
  <c r="S44" i="187"/>
  <c r="S136" i="187"/>
  <c r="S74" i="187"/>
  <c r="S18" i="187"/>
  <c r="S171" i="187"/>
  <c r="S186" i="187"/>
  <c r="S132" i="187"/>
  <c r="S65" i="187"/>
  <c r="S228" i="187"/>
  <c r="S124" i="187"/>
  <c r="S206" i="187"/>
  <c r="S43" i="187"/>
  <c r="S64" i="187"/>
  <c r="S92" i="187"/>
  <c r="S219" i="187"/>
  <c r="S177" i="187"/>
  <c r="S232" i="187"/>
  <c r="S101" i="187"/>
  <c r="S180" i="187"/>
  <c r="S164" i="187"/>
  <c r="S235" i="187"/>
  <c r="S175" i="187"/>
  <c r="S98" i="187"/>
  <c r="S187" i="187"/>
  <c r="S15" i="187"/>
  <c r="S52" i="187"/>
  <c r="S94" i="187"/>
  <c r="S37" i="187"/>
  <c r="S59" i="187"/>
  <c r="D20" i="191"/>
  <c r="P5" i="191" s="1"/>
  <c r="S100" i="187" l="1"/>
  <c r="S36" i="187"/>
  <c r="G7" i="191"/>
  <c r="H7" i="191" s="1"/>
  <c r="J14" i="191"/>
  <c r="K14" i="191" s="1"/>
  <c r="M14" i="191"/>
  <c r="N14" i="191" s="1"/>
  <c r="G15" i="191"/>
  <c r="H15" i="191" s="1"/>
  <c r="J11" i="191"/>
  <c r="K11" i="191" s="1"/>
  <c r="J10" i="191"/>
  <c r="K10" i="191" s="1"/>
  <c r="M12" i="191"/>
  <c r="N12" i="191" s="1"/>
  <c r="J8" i="191"/>
  <c r="K8" i="191" s="1"/>
  <c r="M9" i="191"/>
  <c r="N9" i="191" s="1"/>
  <c r="M7" i="191"/>
  <c r="N7" i="191" s="1"/>
  <c r="M16" i="191"/>
  <c r="N16" i="191" s="1"/>
  <c r="J17" i="191"/>
  <c r="K17" i="191" s="1"/>
  <c r="G12" i="191"/>
  <c r="H12" i="191" s="1"/>
  <c r="G10" i="191"/>
  <c r="H10" i="191" s="1"/>
  <c r="G18" i="191"/>
  <c r="H18" i="191" s="1"/>
  <c r="J18" i="191"/>
  <c r="K18" i="191" s="1"/>
  <c r="M18" i="191"/>
  <c r="N18" i="191" s="1"/>
  <c r="M15" i="191"/>
  <c r="N15" i="191" s="1"/>
  <c r="C15" i="191" s="1"/>
  <c r="J9" i="191"/>
  <c r="K9" i="191" s="1"/>
  <c r="G11" i="191"/>
  <c r="H11" i="191" s="1"/>
  <c r="G8" i="191"/>
  <c r="H8" i="191" s="1"/>
  <c r="M17" i="191"/>
  <c r="N17" i="191" s="1"/>
  <c r="G16" i="191"/>
  <c r="H16" i="191" s="1"/>
  <c r="J13" i="191"/>
  <c r="K13" i="191" s="1"/>
  <c r="J12" i="191"/>
  <c r="K12" i="191" s="1"/>
  <c r="M19" i="191"/>
  <c r="N19" i="191" s="1"/>
  <c r="G17" i="191"/>
  <c r="H17" i="191" s="1"/>
  <c r="M8" i="191"/>
  <c r="N8" i="191" s="1"/>
  <c r="G14" i="191"/>
  <c r="H14" i="191" s="1"/>
  <c r="M11" i="191"/>
  <c r="N11" i="191" s="1"/>
  <c r="C11" i="191" s="1"/>
  <c r="G19" i="191"/>
  <c r="H19" i="191" s="1"/>
  <c r="J15" i="191"/>
  <c r="K15" i="191" s="1"/>
  <c r="M13" i="191"/>
  <c r="N13" i="191" s="1"/>
  <c r="J7" i="191"/>
  <c r="K7" i="191" s="1"/>
  <c r="G9" i="191"/>
  <c r="H9" i="191" s="1"/>
  <c r="J16" i="191"/>
  <c r="K16" i="191" s="1"/>
  <c r="G13" i="191"/>
  <c r="H13" i="191" s="1"/>
  <c r="J19" i="191"/>
  <c r="K19" i="191" s="1"/>
  <c r="M10" i="191"/>
  <c r="N10" i="191" s="1"/>
  <c r="S123" i="187"/>
  <c r="S151" i="187"/>
  <c r="S62" i="187"/>
  <c r="S224" i="187"/>
  <c r="S29" i="187"/>
  <c r="S236" i="187"/>
  <c r="S7" i="187"/>
  <c r="S200" i="187"/>
  <c r="S169" i="187"/>
  <c r="S69" i="187"/>
  <c r="S6" i="187" l="1"/>
  <c r="K20" i="191"/>
  <c r="C17" i="191"/>
  <c r="C8" i="191"/>
  <c r="C19" i="191"/>
  <c r="C10" i="191"/>
  <c r="C16" i="191"/>
  <c r="C12" i="191"/>
  <c r="C14" i="191"/>
  <c r="C7" i="191"/>
  <c r="N20" i="191"/>
  <c r="C13" i="191"/>
  <c r="C18" i="191"/>
  <c r="C9" i="191"/>
  <c r="H20" i="191"/>
  <c r="C20" i="191" l="1"/>
</calcChain>
</file>

<file path=xl/comments1.xml><?xml version="1.0" encoding="utf-8"?>
<comments xmlns="http://schemas.openxmlformats.org/spreadsheetml/2006/main">
  <authors>
    <author>DELL7537</author>
  </authors>
  <commentList>
    <comment ref="E6" authorId="0">
      <text>
        <r>
          <rPr>
            <b/>
            <sz val="9"/>
            <color indexed="81"/>
            <rFont val="Tahoma"/>
            <family val="2"/>
          </rPr>
          <t>chưa tính 405 trđ - đã phân bổ tại QĐ 601</t>
        </r>
      </text>
    </comment>
    <comment ref="E17" authorId="0">
      <text>
        <r>
          <rPr>
            <b/>
            <sz val="9"/>
            <color indexed="81"/>
            <rFont val="Tahoma"/>
            <family val="2"/>
          </rPr>
          <t>chưa tính 360 trđ - đã phân bổ tại QĐ 601</t>
        </r>
      </text>
    </comment>
  </commentList>
</comments>
</file>

<file path=xl/comments2.xml><?xml version="1.0" encoding="utf-8"?>
<comments xmlns="http://schemas.openxmlformats.org/spreadsheetml/2006/main">
  <authors>
    <author>win</author>
  </authors>
  <commentList>
    <comment ref="I10" authorId="0">
      <text>
        <r>
          <rPr>
            <b/>
            <sz val="9"/>
            <color indexed="81"/>
            <rFont val="Tahoma"/>
            <family val="2"/>
          </rPr>
          <t>win:</t>
        </r>
        <r>
          <rPr>
            <sz val="9"/>
            <color indexed="81"/>
            <rFont val="Tahoma"/>
            <family val="2"/>
          </rPr>
          <t xml:space="preserve">
NS xã và đóng gop của nhân dân
</t>
        </r>
      </text>
    </comment>
    <comment ref="O10" authorId="0">
      <text>
        <r>
          <rPr>
            <b/>
            <sz val="9"/>
            <color indexed="81"/>
            <rFont val="Tahoma"/>
            <family val="2"/>
          </rPr>
          <t>win:</t>
        </r>
        <r>
          <rPr>
            <sz val="9"/>
            <color indexed="81"/>
            <rFont val="Tahoma"/>
            <family val="2"/>
          </rPr>
          <t xml:space="preserve">
theo QĐ PD quyết toán
</t>
        </r>
      </text>
    </comment>
    <comment ref="K16" authorId="0">
      <text>
        <r>
          <rPr>
            <b/>
            <sz val="9"/>
            <color indexed="81"/>
            <rFont val="Tahoma"/>
            <family val="2"/>
          </rPr>
          <t>win:</t>
        </r>
        <r>
          <rPr>
            <sz val="9"/>
            <color indexed="81"/>
            <rFont val="Tahoma"/>
            <family val="2"/>
          </rPr>
          <t xml:space="preserve">
CTCP cấp nước HT 3
 tỷ
</t>
        </r>
      </text>
    </comment>
    <comment ref="K17" authorId="0">
      <text>
        <r>
          <rPr>
            <b/>
            <sz val="9"/>
            <color indexed="81"/>
            <rFont val="Tahoma"/>
            <family val="2"/>
          </rPr>
          <t>win:</t>
        </r>
        <r>
          <rPr>
            <sz val="9"/>
            <color indexed="81"/>
            <rFont val="Tahoma"/>
            <family val="2"/>
          </rPr>
          <t xml:space="preserve">
CTCP cấp nước HT 3 tỷ
</t>
        </r>
      </text>
    </comment>
    <comment ref="K191" authorId="0">
      <text>
        <r>
          <rPr>
            <b/>
            <sz val="9"/>
            <color indexed="81"/>
            <rFont val="Tahoma"/>
            <family val="2"/>
          </rPr>
          <t>win:</t>
        </r>
        <r>
          <rPr>
            <sz val="9"/>
            <color indexed="81"/>
            <rFont val="Tahoma"/>
            <family val="2"/>
          </rPr>
          <t xml:space="preserve">
CTCP cấp nước HT 4 tỷ
</t>
        </r>
      </text>
    </comment>
  </commentList>
</comments>
</file>

<file path=xl/comments3.xml><?xml version="1.0" encoding="utf-8"?>
<comments xmlns="http://schemas.openxmlformats.org/spreadsheetml/2006/main">
  <authors>
    <author>win</author>
  </authors>
  <commentList>
    <comment ref="I14" authorId="0">
      <text>
        <r>
          <rPr>
            <b/>
            <sz val="9"/>
            <color indexed="81"/>
            <rFont val="Tahoma"/>
            <family val="2"/>
          </rPr>
          <t>win:</t>
        </r>
        <r>
          <rPr>
            <sz val="9"/>
            <color indexed="81"/>
            <rFont val="Tahoma"/>
            <family val="2"/>
          </rPr>
          <t xml:space="preserve">
có 4 xã bãi ngang đk về đích 2018 nên loại ra
</t>
        </r>
      </text>
    </comment>
  </commentList>
</comments>
</file>

<file path=xl/sharedStrings.xml><?xml version="1.0" encoding="utf-8"?>
<sst xmlns="http://schemas.openxmlformats.org/spreadsheetml/2006/main" count="1301" uniqueCount="656">
  <si>
    <t>An Lộc</t>
  </si>
  <si>
    <t>Phù Lưu</t>
  </si>
  <si>
    <t>Thạch Mỹ</t>
  </si>
  <si>
    <t xml:space="preserve">             </t>
  </si>
  <si>
    <t>Xã còn lại</t>
  </si>
  <si>
    <t xml:space="preserve">Xã đã đăng ký 2014 nhưng không đạt </t>
  </si>
  <si>
    <t>Báo ngày Tết Âm lịch (45.000đ/số x 235 xã)</t>
  </si>
  <si>
    <t>3.5</t>
  </si>
  <si>
    <t>Hỗ trợ trực tiếp PTSX</t>
  </si>
  <si>
    <t>Điều chỉnh Đề án XD NTM</t>
  </si>
  <si>
    <t>Điều chỉnh Đề án PTSX nâng cao thu nhập dân cư nông thôn</t>
  </si>
  <si>
    <t>Quản lý, chỉ đạo cấp xã</t>
  </si>
  <si>
    <t xml:space="preserve">Tập huấn xây dựng khu dân cư mẫu; tập huấn sử dụng
 phần mềm đánh giá khu dân cư mẫu và phần mềm đánh giá 19 tiêu chí, cơ sở dữ liệu; đào tạo kỹ năng điều phối chương trình; tập huấn cơ chế chính sách mới </t>
  </si>
  <si>
    <t xml:space="preserve">Tập huấn xây dựng khu dân cư nông thôn mới kiểu mẫu, văn hóa giao tiếp trong khu dân cư </t>
  </si>
  <si>
    <t>Tập huấn sử dụng phần mềm đánh giá khu dân cư mẫu và phần mềm đánh giá 19 tiêu chí, cơ sở dữ liệu</t>
  </si>
  <si>
    <t>Đào tạo kỹ năng điều phối chương trình</t>
  </si>
  <si>
    <t xml:space="preserve">Tập huấn cơ chế chính sách mới </t>
  </si>
  <si>
    <t>Kinh phí chuyển giao phần mềm bộ chỉ số (theo cụm, xã, liên huyện)</t>
  </si>
  <si>
    <t>Do tăng thêm 10 cán bộ biệt phái</t>
  </si>
  <si>
    <t>Lễ hội ẩm thực</t>
  </si>
  <si>
    <t>Tổ chức tổng kết 5 năm (2011 - 2015); lễ vinh danh các xã đạt chuẩn nông thôn mới, điển hình tiêu biểu 2015</t>
  </si>
  <si>
    <t>Thực hiện năm 2014</t>
  </si>
  <si>
    <t>Kinh phí đón tiếp và làm việc với đoàn Bộ nông nghiệp</t>
  </si>
  <si>
    <t>ĐVT: đồng</t>
  </si>
  <si>
    <t>DỰ TOÁN KINH PHÍ THỰC HIỆN CHƯƠNG TRÌNH MTQG XÂY DỰNG NÔNG THÔN MỚI  NĂM 2015</t>
  </si>
  <si>
    <t>Kế hoạch năm 2014</t>
  </si>
  <si>
    <t xml:space="preserve"> GIÁM ĐỐC SỞ TÀI CHÍNH   VĂN PHÒNG ĐIỀU PHỐI NTM TỈNH</t>
  </si>
  <si>
    <t>GIÁM ĐỐC SỞ NN&amp;PTNT    GIÁM ĐỐC SỞ KẾ HOẠCH &amp; ĐẦU TƯ</t>
  </si>
  <si>
    <t xml:space="preserve">  </t>
  </si>
  <si>
    <t xml:space="preserve">         GIÁM ĐỐC SỞ NN&amp;PTNT                     VĂN PHÒNG ĐIỀU PHỐI NTM TỈNH</t>
  </si>
  <si>
    <t xml:space="preserve">          GIÁM ĐỐC SỞ TÀI CHÍNH                  GIÁM ĐỐC SỞ KẾ HOẠCH &amp; ĐẦU TƯ</t>
  </si>
  <si>
    <t>Chi tiết các nội dung:</t>
  </si>
  <si>
    <t>Đài Truyền hình tỉnh</t>
  </si>
  <si>
    <t>Báo HàTĩnh</t>
  </si>
  <si>
    <t>Mua sắm, sửa chữa thường xuyên tài sản</t>
  </si>
  <si>
    <t>Tập huấn và các Hội thảo khác</t>
  </si>
  <si>
    <t>Xã khó khăn theo Nghị quyết 65/2013/QH13</t>
  </si>
  <si>
    <t>Hỗ trợ giải quyết vấn đề môi trường</t>
  </si>
  <si>
    <t>ko tính xã Kỳ Lạc</t>
  </si>
  <si>
    <t>KẾ HOẠCH ĐÀO TẠO, TẬP HUẤN, TUYÊN TRUYỀN CHƯƠNG TRÌNH NÔNG THÔN MỚI NĂM 2015</t>
  </si>
  <si>
    <t>Đơn vị chủ trì</t>
  </si>
  <si>
    <t>Số lớp</t>
  </si>
  <si>
    <t>Số ngày</t>
  </si>
  <si>
    <t>Thành phần</t>
  </si>
  <si>
    <t>Giáo viên</t>
  </si>
  <si>
    <t>Thành tiền (đồng)</t>
  </si>
  <si>
    <t>TẬP HUẤN</t>
  </si>
  <si>
    <t>Tập huấn triển khai xây dựng Khu dân cư kiểu mẫu và văn hoá giao tiếp tại Khu dân cư</t>
  </si>
  <si>
    <t>Văn phòng Điều phối NTM</t>
  </si>
  <si>
    <t>1 buổi/lớp</t>
  </si>
  <si>
    <t>Cấp huyện: Văn phòng Điều phối NTM huyện, TP, TX; các phòng, ban liên quan; Cấp xã: BCĐ, BQL NTM; Cấp thôn: Tất cả các hộ trong thôn; Bí thư, Phó Bí thư, Thôn trưởng, Trưởng ban phát triển thôn các thôn khác</t>
  </si>
  <si>
    <t>VPĐP tỉnh và Trường Đại học Hà Tĩnh</t>
  </si>
  <si>
    <t>Có chi tiết kèm theo</t>
  </si>
  <si>
    <t>Tập huấn sử dụng phần mềm báo cáo trực tuyến và phần mềm đánh giá kết quả thực hiện 19 tiêu chí và CSDL Chương trình MTQG xây dựng NTM; phần mền tổng hợp kết quả thành lập mô hình phát triển sản xuất và các hình thức tổ chức sản xuất</t>
  </si>
  <si>
    <t>1 ngày/lớp</t>
  </si>
  <si>
    <t>Văn phòng Điều phối NTM các huyện, thành phố, thị xã; Lãnh đạo UBND xã, Cán bộ chuyên trách nông thôn mới 235 xã.</t>
  </si>
  <si>
    <t>Công ty phần mềm và VPĐP NTM tỉnh</t>
  </si>
  <si>
    <t>Tập huấn cơ chế chính sách mới</t>
  </si>
  <si>
    <t>Văn phòng Điều phối NTM, Phòng NN, Phòng KHTC các huyện, TP, TX; cấp xã (4 người), cấp thôn (50 người)</t>
  </si>
  <si>
    <t>VPĐP tỉnh</t>
  </si>
  <si>
    <t>Tập huấn, Hội thảo khác</t>
  </si>
  <si>
    <t>ĐÀO TẠO</t>
  </si>
  <si>
    <t>Đào tạo kỹ năng điều phối Chương trình và 120 giá trị sống</t>
  </si>
  <si>
    <t>2 ngày/lớp</t>
  </si>
  <si>
    <t>Văn phòng Điều phối NTM tỉnh và Văn phòng Điều phối NTM các huyện, thành phố, thị xã</t>
  </si>
  <si>
    <t>Tiến sỹ Mộc Quế</t>
  </si>
  <si>
    <t>TỔNG</t>
  </si>
  <si>
    <t>Khu dân cư NTM kiểu mẫu</t>
  </si>
  <si>
    <t>Chi tiết kèm theo</t>
  </si>
  <si>
    <t>Định mức vốn sự nghiệp</t>
  </si>
  <si>
    <t>Định mức vốn đầu tư phát triển</t>
  </si>
  <si>
    <t>ĐVT: Triệu đồng/xã</t>
  </si>
  <si>
    <t>Các xã phấn đấu đạt 15-18 tiêu chí</t>
  </si>
  <si>
    <t>Các xã đăng ký đạt chuẩn 2015-2016</t>
  </si>
  <si>
    <t>Các xã đăng ký đạt chuẩn năm 2015</t>
  </si>
  <si>
    <t>Xã dưới 7 tiêu chí thuộc nhóm xã khó khăn theo Nghị quyết 65/2013/QH13</t>
  </si>
  <si>
    <t>Xã dưới 7 tiêu chí ngoài nhóm xã khó khăn theo Nghị quyết 65/2013/QH13</t>
  </si>
  <si>
    <t>Hỗ trợ XD xã  đạt chuẩn xã NTM kiểu mẫu</t>
  </si>
  <si>
    <t>Riêng xã:  + Hương Vĩnh, Sơn Kim 2.</t>
  </si>
  <si>
    <t>Riêng: + Xã đạt chuẩn năm 2013, 2014</t>
  </si>
  <si>
    <t xml:space="preserve">                + Xã XD xã NTM kiểu mẫu (Hương Trà)</t>
  </si>
  <si>
    <t xml:space="preserve">          + Xã XD xã NTM kiểu mẫu (Cẩm Bình, Thạch Long, Tùng Ảnh, Xuân Viên)</t>
  </si>
  <si>
    <t>ĐỊNH MỨC PHÂN BỔ VỐN THỰC HIỆN CHƯƠNG TRÌNH MTQG XÂY DỰNG NÔNG THÔN MỚI NĂM 2015 CHO CÁC XÃ</t>
  </si>
  <si>
    <t>Các xã khó khăn theo Nghị quyết 65/2013/QH13 (không bao gồm các xã ở mục 1 và mục 2)</t>
  </si>
  <si>
    <t>Các xã dưới 7 tiêu chí (không bao gồm các xã ĐK đạt chuẩn 2015-2016)</t>
  </si>
  <si>
    <t>Tổ chức tổng kết 2014; lễ vinh danh các xã đạt chuẩn nông thôn mới, điển hình tiêu biểu 2014</t>
  </si>
  <si>
    <t>Phụ cấp Ban chỉ đạo, đặc thù VPĐP</t>
  </si>
  <si>
    <t>Tiếp các Đoàn tham quan học tập tại Hà Tĩnh</t>
  </si>
  <si>
    <t>Tham quan học tập trong nước</t>
  </si>
  <si>
    <t>3.1</t>
  </si>
  <si>
    <t>3.2</t>
  </si>
  <si>
    <t>3.3</t>
  </si>
  <si>
    <t>3.4</t>
  </si>
  <si>
    <t>4.1</t>
  </si>
  <si>
    <t>4.2</t>
  </si>
  <si>
    <t>4.3</t>
  </si>
  <si>
    <t>4.4</t>
  </si>
  <si>
    <t>ĐVT: Đồng</t>
  </si>
  <si>
    <t>CHI TIẾT CÁC NỘI DUNG THỰC HIỆN CỦA BÁO, ĐÀI</t>
  </si>
  <si>
    <t>Kế hoạch
 năm 2015</t>
  </si>
  <si>
    <t>In ấn quảng bá mô hình điển hình và quảng bá khác; trang web</t>
  </si>
  <si>
    <t>In ấn quảng bá mô hình điển hình và quảng bá khác</t>
  </si>
  <si>
    <t>Hoạt động của trang web và biên tập</t>
  </si>
  <si>
    <t>Kinh phí quản lý, chỉ đạo cấp tỉnh</t>
  </si>
  <si>
    <t>Tiền công trả cho lao động hợp đồng</t>
  </si>
  <si>
    <t xml:space="preserve">Chi tiền làm thêm giờ </t>
  </si>
  <si>
    <t>Chi thanh toán dịch vụ công cộng (Xăng xe, điện, nước, tiền vệ sinh môi trường,…)</t>
  </si>
  <si>
    <t>Chi mua vật tư văn phòng</t>
  </si>
  <si>
    <t>Chi thông tin tuyên truyền, liên lạc</t>
  </si>
  <si>
    <t xml:space="preserve">Hội nghị </t>
  </si>
  <si>
    <t>Công tác phí</t>
  </si>
  <si>
    <t>Chi thuê mướn</t>
  </si>
  <si>
    <t>Sữa chữa thường xuyên</t>
  </si>
  <si>
    <t>Chi nghiệp vụ chuyên môn</t>
  </si>
  <si>
    <t>Chi thu nhập tăng thêm</t>
  </si>
  <si>
    <t>Các khoản chi khác</t>
  </si>
  <si>
    <t>Kinh phí các đoàn kiểm tra Liên ngành và Văn phòng Điều phối theo chỉ đạo của UBND tỉnh</t>
  </si>
  <si>
    <t>Chi thanh toán xăng xe</t>
  </si>
  <si>
    <t>Chi thanh toán thuê xe</t>
  </si>
  <si>
    <t>Chi phụ cấp công tác phí</t>
  </si>
  <si>
    <t>Chi thuê phòng nghỉ</t>
  </si>
  <si>
    <t>Chi phí khác</t>
  </si>
  <si>
    <t>Các kinh phí đặc thù khác</t>
  </si>
  <si>
    <t>Tuyên truyền qua báo đài</t>
  </si>
  <si>
    <t>TPCP</t>
  </si>
  <si>
    <t>Lãi suất</t>
  </si>
  <si>
    <t>Vườn mẫu</t>
  </si>
  <si>
    <t>Dự toán 2015</t>
  </si>
  <si>
    <t>Show game nông thôn ngày mới</t>
  </si>
  <si>
    <t>Phóng sự, in đĩa tuyên truyền các điển hình tiêu biểu</t>
  </si>
  <si>
    <t>Tuyên truyền chung như các năm</t>
  </si>
  <si>
    <t>Cuộc thi Chung tay xây dựng NTM</t>
  </si>
  <si>
    <t>Phóng sự, tin bài tuyên truyền điển hình tiêu biểu</t>
  </si>
  <si>
    <t>Tạp chí trang trại cung cấp cho VPĐP tỉnh, Chủ tịch Hội nông dân 235 xã, thôn trưởng, các chủ trang trại (số thường)</t>
  </si>
  <si>
    <t>Tạp chí trang trại cung cấp cho VPĐP tỉnh, Chủ tịch Hội nông dân 235 xã, thôn trưởng, các chủ trang trại (số đặc biệt - Số tết nguyên đán)</t>
  </si>
  <si>
    <t>Báo giấy (nhật báo) cung cấp cho Thường trực BCĐ NTM tỉnh, VPĐP NTM tỉnh (báo thường và các số đặc biệt)</t>
  </si>
  <si>
    <t>Kinh phí hỗ trợ bài viết tuyên truyền XDNTM Hà Tĩnh trên báo hàng ngày (nhật báo)</t>
  </si>
  <si>
    <t>Kinh phí hỗ trợ Hội thảo về Trang trại Việt đồng hành cùng nông dân làm giàu</t>
  </si>
  <si>
    <t>Báo nông nghiệp</t>
  </si>
  <si>
    <t>Đặt báo</t>
  </si>
  <si>
    <t>Báo giấy số thường 239 số/năm (Q1-Q2: 115 số; Q3+Q4:124 số) cấp phát cho 235 xã (239 số x 235 x 4000đ/số)</t>
  </si>
  <si>
    <t>Báo ngày 30/4-1/5 (25.000đ/số x 235 xã)</t>
  </si>
  <si>
    <t>Báo ngày 2/9 (25.000đ/số x 235 xã)</t>
  </si>
  <si>
    <t>Báo ngày Tết dương lịch (25.000đ/số x 235 xã)</t>
  </si>
  <si>
    <t>Báo 75 năm kỷ niệm thành lập  (45.000đ/số x 235 xã)</t>
  </si>
  <si>
    <t>Kinh phí in sách "Những mô hình kinh tế hái ra bạc tỷ"</t>
  </si>
  <si>
    <t>Hỗ trợ kinh phí Hội thảo NTM nhân 10 năm kỷ niệm thành lập</t>
  </si>
  <si>
    <t>Hỗ trợ kinh phí tuyên truyền NTM trên báo xuân</t>
  </si>
  <si>
    <t>TT</t>
  </si>
  <si>
    <t>I</t>
  </si>
  <si>
    <t>II</t>
  </si>
  <si>
    <t>Tổng</t>
  </si>
  <si>
    <t>Cộng</t>
  </si>
  <si>
    <t>Các xã còn lại</t>
  </si>
  <si>
    <t>Tổng cộng</t>
  </si>
  <si>
    <t>III</t>
  </si>
  <si>
    <t>IV</t>
  </si>
  <si>
    <t>V</t>
  </si>
  <si>
    <t>VII</t>
  </si>
  <si>
    <t>VI</t>
  </si>
  <si>
    <t>-</t>
  </si>
  <si>
    <t>Tham quan học tập trong và ngoài nước theo kế hoạch của BCĐ, VPĐP</t>
  </si>
  <si>
    <t>Các báo đài khác</t>
  </si>
  <si>
    <t>Báo Nông thôn ngày nay</t>
  </si>
  <si>
    <t>Báo Nông nghiệp Việt Nam</t>
  </si>
  <si>
    <t>Báo Hà Tĩnh</t>
  </si>
  <si>
    <t>Đài Phát thanh - Truyền hình tỉnh</t>
  </si>
  <si>
    <t>Ghi chú</t>
  </si>
  <si>
    <t>Nội dung</t>
  </si>
  <si>
    <t>1.1</t>
  </si>
  <si>
    <t>1.2</t>
  </si>
  <si>
    <t>Kinh phí tuyên truyền của các báo, đài và các tổ chức khác</t>
  </si>
  <si>
    <t>Tổ chức các hoạt động theo chỉ đạo của Ban chỉ đạo NTM tỉnh</t>
  </si>
  <si>
    <t>Mô hình lớn</t>
  </si>
  <si>
    <t>Mô hình vừa</t>
  </si>
  <si>
    <t>Mô hình nhỏ</t>
  </si>
  <si>
    <t>Nội dung khác</t>
  </si>
  <si>
    <t>NS tỉnh</t>
  </si>
  <si>
    <t>Sự nghiệp khác</t>
  </si>
  <si>
    <r>
      <rPr>
        <b/>
        <sz val="11.5"/>
        <color indexed="8"/>
        <rFont val="Times New Roman"/>
        <family val="1"/>
      </rPr>
      <t>Ghi chú:</t>
    </r>
    <r>
      <rPr>
        <sz val="11.5"/>
        <color indexed="8"/>
        <rFont val="Times New Roman"/>
        <family val="1"/>
      </rPr>
      <t xml:space="preserve"> Định mức khen thưởng xã đạt chuẩn năm 2014 căn cứ theo Quyết định số 225/QĐ-UBND ngày 16/01/2015 của UBND tỉnh</t>
    </r>
  </si>
  <si>
    <t>(Kèm theo Tờ trình số ……/TTrLN: VPĐP-SNN-STC-SĐT ngày …./03/2015 của Liên ngành)</t>
  </si>
  <si>
    <t>PHỤ BIỂU …..</t>
  </si>
  <si>
    <t>BIỂU 1.2</t>
  </si>
  <si>
    <t>Huyện Kỳ Anh</t>
  </si>
  <si>
    <t>Huyện Cẩm Xuyên</t>
  </si>
  <si>
    <t>Huyện Thạch Hà</t>
  </si>
  <si>
    <t>Huyện Can Lộc</t>
  </si>
  <si>
    <t>Huyện Đức Thọ</t>
  </si>
  <si>
    <t>Huyện Nghi Xuân</t>
  </si>
  <si>
    <t>Huyện Hương Sơn</t>
  </si>
  <si>
    <t>Huyện Hương Khê</t>
  </si>
  <si>
    <t>Huyện Vũ Quang</t>
  </si>
  <si>
    <t>Huyện Lộc Hà</t>
  </si>
  <si>
    <t>Phụ lục 2.2</t>
  </si>
  <si>
    <t>Kỳ Bắc</t>
  </si>
  <si>
    <t>Xã đã đạt chuẩn</t>
  </si>
  <si>
    <t>Kỳ Thư</t>
  </si>
  <si>
    <t>Xã đạt từ 15 tiêu chí trở lên</t>
  </si>
  <si>
    <t>Kỳ Đồng</t>
  </si>
  <si>
    <t>Kỳ Lâm</t>
  </si>
  <si>
    <t>Kỳ Giang</t>
  </si>
  <si>
    <t>Kỳ Châu</t>
  </si>
  <si>
    <t>Kỳ Trung</t>
  </si>
  <si>
    <t>Kỳ Phú</t>
  </si>
  <si>
    <t>Xã ĐB khó khăn</t>
  </si>
  <si>
    <t>Kỳ Sơn</t>
  </si>
  <si>
    <t>Kỳ Tây</t>
  </si>
  <si>
    <t>Kỳ Xuân</t>
  </si>
  <si>
    <t>Kỳ Khang</t>
  </si>
  <si>
    <t>Kỳ Hợp</t>
  </si>
  <si>
    <t>Kỳ Lạc</t>
  </si>
  <si>
    <t>Kỳ Thượng</t>
  </si>
  <si>
    <t>Kỳ Tân</t>
  </si>
  <si>
    <t>Kỳ Hải</t>
  </si>
  <si>
    <t>Kỳ Phong</t>
  </si>
  <si>
    <t>Kỳ Tiến</t>
  </si>
  <si>
    <t>Kỳ Văn</t>
  </si>
  <si>
    <t>Kỳ Thọ</t>
  </si>
  <si>
    <t>TX Kỳ Anh</t>
  </si>
  <si>
    <t>Kỳ Hoa</t>
  </si>
  <si>
    <t>Kỳ Ninh</t>
  </si>
  <si>
    <t>Kỳ Nam</t>
  </si>
  <si>
    <t>Kỳ Hà</t>
  </si>
  <si>
    <t>Kỳ Hưng</t>
  </si>
  <si>
    <t>Kỳ Lợi</t>
  </si>
  <si>
    <t>Cẩm Yên</t>
  </si>
  <si>
    <t>Cẩm Nam</t>
  </si>
  <si>
    <t>Cẩm Lạc</t>
  </si>
  <si>
    <t>Cẩm Quang</t>
  </si>
  <si>
    <t>Cẩm Nhượng</t>
  </si>
  <si>
    <t>Cẩm Hòa</t>
  </si>
  <si>
    <t>Cẩm Phúc</t>
  </si>
  <si>
    <t>Cẩm Vịnh</t>
  </si>
  <si>
    <t>Cẩm Hưng</t>
  </si>
  <si>
    <t>Cẩm Thành</t>
  </si>
  <si>
    <t>Cẩm Thăng</t>
  </si>
  <si>
    <t>Cẩm Minh</t>
  </si>
  <si>
    <t>Cẩm Lĩnh</t>
  </si>
  <si>
    <t>Cẩm Dương</t>
  </si>
  <si>
    <t>Cẩm Sơn</t>
  </si>
  <si>
    <t>Cẩm Thịnh</t>
  </si>
  <si>
    <t>Cẩm Bình</t>
  </si>
  <si>
    <t>Cẩm Duệ</t>
  </si>
  <si>
    <t>Cẩm Hà</t>
  </si>
  <si>
    <t>Cẩm Huy</t>
  </si>
  <si>
    <t>Cẩm Lộc</t>
  </si>
  <si>
    <t>Cẩm Mỹ</t>
  </si>
  <si>
    <t>Cẩm Quan</t>
  </si>
  <si>
    <t>Cẩm Thạch</t>
  </si>
  <si>
    <t>Cẩm Trung</t>
  </si>
  <si>
    <t>TP Hà Tĩnh</t>
  </si>
  <si>
    <t>Thạch Bình</t>
  </si>
  <si>
    <t>Thạch Trung</t>
  </si>
  <si>
    <t>Thạch Hưng</t>
  </si>
  <si>
    <t>Thạch Môn</t>
  </si>
  <si>
    <t>Thạch Hạ</t>
  </si>
  <si>
    <t>Thạch Đồng</t>
  </si>
  <si>
    <t>Phù Việt</t>
  </si>
  <si>
    <t>Thạch Văn</t>
  </si>
  <si>
    <t>Tượng Sơn</t>
  </si>
  <si>
    <t>Thạch Đài</t>
  </si>
  <si>
    <t>Thạch Liên</t>
  </si>
  <si>
    <t>Thạch Khê</t>
  </si>
  <si>
    <t>Thạch Vĩnh</t>
  </si>
  <si>
    <t>Thạch Đỉnh</t>
  </si>
  <si>
    <t>Nam Hương</t>
  </si>
  <si>
    <t>Thạch Lạc</t>
  </si>
  <si>
    <t>Thạch Kênh</t>
  </si>
  <si>
    <t>Việt Xuyên</t>
  </si>
  <si>
    <t>Thạch Sơn</t>
  </si>
  <si>
    <t>Thạch Thanh</t>
  </si>
  <si>
    <t>Thạch Tiến</t>
  </si>
  <si>
    <t>Bắc Sơn</t>
  </si>
  <si>
    <t>Thạch Lưu</t>
  </si>
  <si>
    <t>Thạch Thắng</t>
  </si>
  <si>
    <t>Thạch Xuân</t>
  </si>
  <si>
    <t>Thạch Bàn</t>
  </si>
  <si>
    <t>Thạch Hải</t>
  </si>
  <si>
    <t>Thạch Trị</t>
  </si>
  <si>
    <t>Thạch Hội</t>
  </si>
  <si>
    <t>Thạch Tân</t>
  </si>
  <si>
    <t>Thạch Long</t>
  </si>
  <si>
    <t>Thạch Ngọc</t>
  </si>
  <si>
    <t>Ngọc Sơn</t>
  </si>
  <si>
    <t>Thạch Lâm</t>
  </si>
  <si>
    <t>Thạch Hương</t>
  </si>
  <si>
    <t>Thạch Điền</t>
  </si>
  <si>
    <t>Quang Lộc</t>
  </si>
  <si>
    <t>Thường Nga</t>
  </si>
  <si>
    <t>Thượng Lộc</t>
  </si>
  <si>
    <t>Tiến Lộc</t>
  </si>
  <si>
    <t>Vượng Lộc</t>
  </si>
  <si>
    <t>Phú Lộc</t>
  </si>
  <si>
    <t>Gia Hanh</t>
  </si>
  <si>
    <t>Tùng Lộc</t>
  </si>
  <si>
    <t>Thanh Lộc</t>
  </si>
  <si>
    <t>Khánh Lộc</t>
  </si>
  <si>
    <t>Thiên Lộc</t>
  </si>
  <si>
    <t>Đồng Lộc</t>
  </si>
  <si>
    <t>Kim Lộc</t>
  </si>
  <si>
    <t>Thuần Thiện</t>
  </si>
  <si>
    <t>Vĩnh Lộc</t>
  </si>
  <si>
    <t>Sơn Lộc</t>
  </si>
  <si>
    <t>Mỹ Lộc</t>
  </si>
  <si>
    <t>Xuân Lộc</t>
  </si>
  <si>
    <t>Trung Lộc</t>
  </si>
  <si>
    <t>Yên Lộc</t>
  </si>
  <si>
    <t>Song Lộc</t>
  </si>
  <si>
    <t>Trường Lộc</t>
  </si>
  <si>
    <t>Đức Lạng</t>
  </si>
  <si>
    <t>Thái Yên</t>
  </si>
  <si>
    <t>Trung Lễ</t>
  </si>
  <si>
    <t>Đức Lâm</t>
  </si>
  <si>
    <t>Đức Thủy</t>
  </si>
  <si>
    <t>Đức Yên</t>
  </si>
  <si>
    <t>Đức Vĩnh</t>
  </si>
  <si>
    <t>Đức Đồng</t>
  </si>
  <si>
    <t>Đức Lập</t>
  </si>
  <si>
    <t>Tân Hương</t>
  </si>
  <si>
    <t>Trường Sơn</t>
  </si>
  <si>
    <t>Yên Hồ</t>
  </si>
  <si>
    <t>Tùng Ảnh</t>
  </si>
  <si>
    <t>Đức Lạc</t>
  </si>
  <si>
    <t>Đức Hòa</t>
  </si>
  <si>
    <t>Đức Long</t>
  </si>
  <si>
    <t>Đức An</t>
  </si>
  <si>
    <t>Đức Dũng</t>
  </si>
  <si>
    <t>Đức Thanh</t>
  </si>
  <si>
    <t>Đức Thịnh</t>
  </si>
  <si>
    <t>Bùi Xá</t>
  </si>
  <si>
    <t>Đức Nhân</t>
  </si>
  <si>
    <t>Liên Minh</t>
  </si>
  <si>
    <t>Đức Tùng</t>
  </si>
  <si>
    <t>Đức Châu</t>
  </si>
  <si>
    <t>Đức La</t>
  </si>
  <si>
    <t>Đức Quang</t>
  </si>
  <si>
    <t>Xuân Phổ</t>
  </si>
  <si>
    <t>Xuân Thành</t>
  </si>
  <si>
    <t>Xuân Trường</t>
  </si>
  <si>
    <t>Cổ Đạm</t>
  </si>
  <si>
    <t>Xuân Hồng</t>
  </si>
  <si>
    <t>Xuân Giang</t>
  </si>
  <si>
    <t>Xuân Mỹ</t>
  </si>
  <si>
    <t>Xuân Viên</t>
  </si>
  <si>
    <t>Xuân Liên</t>
  </si>
  <si>
    <t>Xuân Yên</t>
  </si>
  <si>
    <t>Xuân Hải</t>
  </si>
  <si>
    <t>Xuân Hội</t>
  </si>
  <si>
    <t>Xuân Đan</t>
  </si>
  <si>
    <t>Cương Gián</t>
  </si>
  <si>
    <t>Xuân Lĩnh</t>
  </si>
  <si>
    <t>Xuân Lam</t>
  </si>
  <si>
    <t>Tiên Điền</t>
  </si>
  <si>
    <t>Sơn Bằng</t>
  </si>
  <si>
    <t>Sơn Tây</t>
  </si>
  <si>
    <t>Sơn Phú</t>
  </si>
  <si>
    <t>Sơn Tân</t>
  </si>
  <si>
    <t>Sơn Ninh</t>
  </si>
  <si>
    <t>Sơn Trung</t>
  </si>
  <si>
    <t>Sơn Quang</t>
  </si>
  <si>
    <t>Sơn Mỹ</t>
  </si>
  <si>
    <t>Sơn Châu</t>
  </si>
  <si>
    <t>Sơn Kim I</t>
  </si>
  <si>
    <t xml:space="preserve">Sơn Hồng </t>
  </si>
  <si>
    <t>Sơn Kim II</t>
  </si>
  <si>
    <t>Sơn An</t>
  </si>
  <si>
    <t>Sơn Bình</t>
  </si>
  <si>
    <t>Sơn Hàm</t>
  </si>
  <si>
    <t>Sơn Hòa</t>
  </si>
  <si>
    <t>Sơn Lâm</t>
  </si>
  <si>
    <t>Sơn Lễ</t>
  </si>
  <si>
    <t>Sơn Lĩnh</t>
  </si>
  <si>
    <t>Sơn Long</t>
  </si>
  <si>
    <t>Sơn Mai</t>
  </si>
  <si>
    <t>Sơn Phúc</t>
  </si>
  <si>
    <t>Sơn Tiến</t>
  </si>
  <si>
    <t>Sơn Thịnh</t>
  </si>
  <si>
    <t>Sơn Thủy</t>
  </si>
  <si>
    <t>Sơn Trà</t>
  </si>
  <si>
    <t>Sơn Trường</t>
  </si>
  <si>
    <t>Sơn Hà</t>
  </si>
  <si>
    <t>Sơn Giang</t>
  </si>
  <si>
    <t>Sơn Diệm</t>
  </si>
  <si>
    <t>Phúc Trạch</t>
  </si>
  <si>
    <t>Phú Phong</t>
  </si>
  <si>
    <t>Hương Vĩnh</t>
  </si>
  <si>
    <t>Phú Gia</t>
  </si>
  <si>
    <t>Gia Phố</t>
  </si>
  <si>
    <t>Hương Trà</t>
  </si>
  <si>
    <t>Phúc Đồng</t>
  </si>
  <si>
    <t>Hương Liên</t>
  </si>
  <si>
    <t>Phương Mỹ</t>
  </si>
  <si>
    <t>Hương Lâm</t>
  </si>
  <si>
    <t>Hòa Hải</t>
  </si>
  <si>
    <t>Hà Linh</t>
  </si>
  <si>
    <t>Lộc Yên</t>
  </si>
  <si>
    <t>Hương Thủy</t>
  </si>
  <si>
    <t>Hương Bình</t>
  </si>
  <si>
    <t>Hương Đô</t>
  </si>
  <si>
    <t>Hương Giang</t>
  </si>
  <si>
    <t>Phương Điền</t>
  </si>
  <si>
    <t>Hương Xuân</t>
  </si>
  <si>
    <t>Hương Trạch</t>
  </si>
  <si>
    <t>Hương Long</t>
  </si>
  <si>
    <t>TX Hồng Lĩnh</t>
  </si>
  <si>
    <t>UBND xã Thuận Lộc</t>
  </si>
  <si>
    <t>Ân Phú</t>
  </si>
  <si>
    <t>Đức Lĩnh</t>
  </si>
  <si>
    <t>Đức Hương</t>
  </si>
  <si>
    <t>Đức Liên</t>
  </si>
  <si>
    <t>Sơn Thọ</t>
  </si>
  <si>
    <t>Hương Minh</t>
  </si>
  <si>
    <t>Hương Thọ</t>
  </si>
  <si>
    <t>Hương Quang</t>
  </si>
  <si>
    <t>Đức Giang</t>
  </si>
  <si>
    <t>Đức Bồng</t>
  </si>
  <si>
    <t>Hương Điền</t>
  </si>
  <si>
    <t>Ích Hậu</t>
  </si>
  <si>
    <t>Mai Phụ</t>
  </si>
  <si>
    <t>Hộ Độ</t>
  </si>
  <si>
    <t>Thạch Bằng</t>
  </si>
  <si>
    <t>Thịnh Lộc</t>
  </si>
  <si>
    <t>Hồng Lộc</t>
  </si>
  <si>
    <t>Tân Lộc</t>
  </si>
  <si>
    <t>Thạch Kim</t>
  </si>
  <si>
    <t>Thạch Châu</t>
  </si>
  <si>
    <t>Bình Lộc</t>
  </si>
  <si>
    <t>x</t>
  </si>
  <si>
    <t>Về đích 2013</t>
  </si>
  <si>
    <t>Về đích 2014</t>
  </si>
  <si>
    <t>Về đích 2015</t>
  </si>
  <si>
    <t>Tiêu chí đạt đến 31/12/2016</t>
  </si>
  <si>
    <t>Xã bãi ngang, biên giới</t>
  </si>
  <si>
    <t>Danh sách xã</t>
  </si>
  <si>
    <t>Các xã đạt chuẩn đến 2016</t>
  </si>
  <si>
    <t>Đăng ký đạt chuẩn 2017</t>
  </si>
  <si>
    <t>Đăng ký đạt chuẩn 2018</t>
  </si>
  <si>
    <t>Đăng ký đạt chuẩn 2019</t>
  </si>
  <si>
    <t>Đăng ký đạt chuẩn 2020</t>
  </si>
  <si>
    <t>Tổng hệ số</t>
  </si>
  <si>
    <t>1 hệ số là</t>
  </si>
  <si>
    <t>Tiêu chí đạt đến 30/9/2017</t>
  </si>
  <si>
    <t>Hệ số phân bổ 2018</t>
  </si>
  <si>
    <t>Đơn vị thực hiện</t>
  </si>
  <si>
    <t>Vốn đầu tư phát triển</t>
  </si>
  <si>
    <t>Đưa thông tin về cơ sở miền núi, vùng sâu, vùng xa, biên giới và hải đảo</t>
  </si>
  <si>
    <t>Thực hiện các nội dung về Nước sạch và Vệ sinh môi trường nông thôn</t>
  </si>
  <si>
    <t>Thực hiện tại các địa phương UBND cấp huyện phân bổ chi tiết cho các xã</t>
  </si>
  <si>
    <t>Chi tiết tại phụ lục số 02</t>
  </si>
  <si>
    <t>PHỤ LỤC 01</t>
  </si>
  <si>
    <t>PHỤ LỤC 02</t>
  </si>
  <si>
    <t>Huyện, thành phố, thị xã</t>
  </si>
  <si>
    <t>Số tiền</t>
  </si>
  <si>
    <t>TMĐT</t>
  </si>
  <si>
    <t>NSTW</t>
  </si>
  <si>
    <t>Mạng lưới cấp nước sinh hoạt xã Tiên Điền, Nghi xuân</t>
  </si>
  <si>
    <t>Trả nợ hoàn thành</t>
  </si>
  <si>
    <t>NS huyện</t>
  </si>
  <si>
    <t>NS xã</t>
  </si>
  <si>
    <t>Huy động dân</t>
  </si>
  <si>
    <t>Khác</t>
  </si>
  <si>
    <t>Danh mục công trình, dự án</t>
  </si>
  <si>
    <t>Số QĐ</t>
  </si>
  <si>
    <t>Đóng góp của dân và khác</t>
  </si>
  <si>
    <t>Chủ đầu tư</t>
  </si>
  <si>
    <t xml:space="preserve">Trung tâm Nước sạch và VSMTNT </t>
  </si>
  <si>
    <t>Hệ thống đường ống cấp nước sạch xã Hộ Độ, huyện Lộc Hà</t>
  </si>
  <si>
    <t>UBND huyện Lộc Hà</t>
  </si>
  <si>
    <t>909/BC-SKHĐT; 07/11/2016</t>
  </si>
  <si>
    <t>Hệ thống cấp nước xã Thạch Đài, huyện Thạch Hà</t>
  </si>
  <si>
    <t>UBND xã Thạch Đài</t>
  </si>
  <si>
    <t>UBND xã Tiên Điền</t>
  </si>
  <si>
    <t>còn thiếu so TMĐT</t>
  </si>
  <si>
    <t xml:space="preserve">QĐ 1313; 15/5/2014 </t>
  </si>
  <si>
    <t>Hệ thống cấp nước sinh hoạt xã Thạch Tân, huyện Thạch Hà</t>
  </si>
  <si>
    <t>Đã PD quyết toán tại QĐ 1200; 04/5/2017</t>
  </si>
  <si>
    <t>nhu cầu NS tỉnh 2018</t>
  </si>
  <si>
    <t>Nhu cầu NSTW 2018</t>
  </si>
  <si>
    <t>TỔNG SỐ</t>
  </si>
  <si>
    <t>Nguồn vốn năm 2018 còn lại:</t>
  </si>
  <si>
    <t>Thành tiền</t>
  </si>
  <si>
    <t>Tổng số xã</t>
  </si>
  <si>
    <t>countif</t>
  </si>
  <si>
    <t>Hệ số</t>
  </si>
  <si>
    <t xml:space="preserve">Ghi chú: </t>
  </si>
  <si>
    <t>1.</t>
  </si>
  <si>
    <t>2.</t>
  </si>
  <si>
    <t>3.</t>
  </si>
  <si>
    <t xml:space="preserve">KH 2018 NSTW </t>
  </si>
  <si>
    <t>DỰ KIẾN PHÂN BỔ KẾ HOẠCH VỐN NSTW CHƯƠNG TRÌNH MTQG XÂY DỰNG NÔNG THÔN MỚI NĂM 2018</t>
  </si>
  <si>
    <t>Chi tiết tại phụ lục số 03</t>
  </si>
  <si>
    <t>Chuyển đổi vị trí, xây mới điểm bưu điện Văn hóa xã theo KH 169/KH-UBND ngày 23/5/2017 của UBND tỉnh (mỗi xã 200 triệu đồng)</t>
  </si>
  <si>
    <t xml:space="preserve"> Kỳ Lạc, Kỳ Khang, Kỳ Văn</t>
  </si>
  <si>
    <t>Yên Hồ, Liên Minh</t>
  </si>
  <si>
    <t>Vĩnh Lộc, Thanh Lộc, Gia Hanh</t>
  </si>
  <si>
    <t xml:space="preserve">Thạch Mỹ, Mai Phụ </t>
  </si>
  <si>
    <t xml:space="preserve"> Sơn Tân</t>
  </si>
  <si>
    <t xml:space="preserve">4. </t>
  </si>
  <si>
    <t>Sở Thông tin và Truyền thông chủ trì thực hiện tại 6 xã (mỗi xã 250 triệu đồng), gồm:
- Hương Trạch - huyện Hương Khê (xã đăng ký về đích năm 2018)
- Hương Long - huyện Hương Khê (xã đăng ký về đích năm 2018)
- Đức Dũng - huyện Đức Thọ (xã đăng ký về đích năm 2018)
- Kim Lộc - huyện Can Lộc (xã đăng ký về đích năm 2018)
- Song Lộc - huyện Can Lộc (xã đăng ký về đích năm 2018)
- Cẩm Dương - huyện Cẩm Xuyên (xã đăng ký về đích năm 2018)</t>
  </si>
  <si>
    <t>PHỤ LỤC 03</t>
  </si>
  <si>
    <t>Sửa chữa công trình cấp nước xã Gia Phố (giai đoạn 2)</t>
  </si>
  <si>
    <t>Nâng cấp, mở rộng mạng lưới cấp nước cho xã Đức Nhân</t>
  </si>
  <si>
    <t>Mở rộng mạng lưới công trình cấp nước Thiên Lộc cấp cho xã Vượng Lộc</t>
  </si>
  <si>
    <t>Tiêu chí đạt đến 31/12/2017</t>
  </si>
  <si>
    <t>Đạt chuẩn 2017 theo QĐ 131 UB</t>
  </si>
  <si>
    <t>đạt chuẩn 2017, cấp bù</t>
  </si>
  <si>
    <t>Đăng ký đạt chuẩn 2018 (mới)</t>
  </si>
  <si>
    <t>Xã đăng ký đạt chuẩn 2018</t>
  </si>
  <si>
    <t>Xã đã công nhận là đô thị loại IV tại QĐ 2832 ngày 02/10/2017</t>
  </si>
  <si>
    <t>Xã Đặc biệt khó khăn, xã nghèo (hệ số 4,0)</t>
  </si>
  <si>
    <t>Xã còn lại và đã đạt tiêu chí NTM2017 trở về trước (hệ số 1,0)</t>
  </si>
  <si>
    <t>Xã đạt từ 15 tiêu chí trở lên và đăng ký đạt chuẩn 2018 và cấp bù xã đạt chuẩn 2017 nhưng đăng ký đạt sau 2017 (hệ số 1,3)</t>
  </si>
  <si>
    <t>Đối với các huyện có xã thuộc kế hoạch chuyển đổi vị trí, xây mới điểm bưu điện văn hóa xã trong năm 2018 theo KH 169/KH-UBND ngày 23/5/2017 của UBND tỉnh, các huyện, các xã, tổng hợp danh mục phân bổ chi tiết cho các dự án này vào kế hoạch năm 2018 để triển khai thực hiện (riêng Thị trấn Thiên Cầm không thuộc đối tượng thụ hưởng của Chương trình Nông thôn mới nên đề nghị không phân bổ). Giao Sở TT&amp;TT chỉ đạo Bưu điện tỉnh đối ứng nguồn từ Tổng Công ty Bưu điện Việt Nam; hướng dẫn UBND xã và Bưu điện tỉnh thực hiện xây dựng Điểm BĐ VHX theo tiêu chuẩn chung của ngành.</t>
  </si>
  <si>
    <t>Công trình chuyển tiếp</t>
  </si>
  <si>
    <t>Đã bố trí vốn đến hết năm 2017</t>
  </si>
  <si>
    <t>Số VB</t>
  </si>
  <si>
    <t>Nguồn vốn theo BC thẩm định nguồn vốn và khả năng cân đối vốn</t>
  </si>
  <si>
    <t>1119/BC-SKHĐT; 08/12/2017</t>
  </si>
  <si>
    <t>Dự kiến phân bổ cho các xã</t>
  </si>
  <si>
    <t>93/SNN-KHTC; 12/01/2018</t>
  </si>
  <si>
    <t>CV 281/UBND-XD1; 17/01/2018</t>
  </si>
  <si>
    <t>CV 96/UBND-XD1; 08/01/2018</t>
  </si>
  <si>
    <t>1005/BC-SKHĐT; 02/11/2017</t>
  </si>
  <si>
    <t>TỔNG HỢP HỆ SỐ PHÂN BỔ VỐN THỰC HIỆN CHƯƠNG TRÌNH MTQG XÂY DỰNG NÔNG THÔN MỚI NĂM 2018</t>
  </si>
  <si>
    <t>Quyết định PD BCKTKT/ PD chủ trương đầu tư</t>
  </si>
  <si>
    <t>BC thẩm định vốn</t>
  </si>
  <si>
    <t>QĐ PD BCKTKT 797; 05/3/2015</t>
  </si>
  <si>
    <t>QĐ PDCTĐT 3756; 14/12/2017</t>
  </si>
  <si>
    <t>QĐ PDCTĐT 3365; 14/11/2017</t>
  </si>
  <si>
    <t>Phân bổ chi tiết sau</t>
  </si>
  <si>
    <t>23/UBND-KHTC; 04/01/2018; 139/UBND-KHTC; 22/01/2018 Thạch Hà</t>
  </si>
  <si>
    <t xml:space="preserve">Mở rộng mạng lưới CT cấp nước sinh hoạt Bắc Thạch Hà cấp cho xã Thạch Tiến </t>
  </si>
  <si>
    <t>Mở rộng mạng lưới CT cấp nước sinh hoạt Bắc Thạch Hà cấp cho xã Thạch Thanh</t>
  </si>
  <si>
    <t>QĐ 2253; 10/8/2017</t>
  </si>
  <si>
    <t>Đã đấu thầu</t>
  </si>
  <si>
    <t>28 xã Đặc biệt khó khăn, xã nghèo: hệ số 4,0 (có 35 xã 135 và 106, nhưng có 5 xã, gồm: Cổ Đạm, Hương Vĩnh, Xuân Hải, Xuân Liên, Xuân Đan đã đạt chuẩn 2017 trở về trước, đã được ưu tiên hỗ trợ nên hệ số chỉ tính 1,0; xã Kỳ Xuân và Xuân Yên đã đạt chuẩn 2017 trước Kế hoạch nên tính hệ số 1,3 (cấp bù chênh lệch)</t>
  </si>
  <si>
    <t>Khởi công mới 2018</t>
  </si>
  <si>
    <t>Xây dựng mạng lưới cấp nước cho xã Tân Lộc, huyện Lộc Hà</t>
  </si>
  <si>
    <t>QĐ 2253</t>
  </si>
  <si>
    <t xml:space="preserve">571/BC-SKHĐT 03/8/2017 </t>
  </si>
  <si>
    <t>3634/QĐ-UBND; 07/12/2017</t>
  </si>
  <si>
    <t>Mở rộng, nâng cấp công trình cấp nước xã Trường Sơn, huyện Đức Thọ</t>
  </si>
  <si>
    <t>570/BC-SKHĐT; 03/8/2017</t>
  </si>
  <si>
    <t>Mạng lưới cấp nước sinh hoạt cho xã Đức Lâm, Đức Thọ</t>
  </si>
  <si>
    <t>CV 2493/SKH; 19/10/2017</t>
  </si>
  <si>
    <t>Công ty cổ phần cấp nước Hà Tĩnh</t>
  </si>
  <si>
    <t>CV 6981/UBND-XD1 06/11/2017</t>
  </si>
  <si>
    <t>Ct TNHH MTV cấp nước và XD HT (nay là Công ty CP cấp nước Hà Tĩnh)</t>
  </si>
  <si>
    <t>Số tiền hệ số 4,0</t>
  </si>
  <si>
    <t xml:space="preserve">Số tiền  hệ số 1,3 </t>
  </si>
  <si>
    <t>Số tiền  hệ số 1,0</t>
  </si>
  <si>
    <t>Số xã</t>
  </si>
  <si>
    <t>THỰC HIỆN CÁC NỘI DUNG VỀ NƯỚC SẠCH VÀ VỆ SINH MÔI TRƯỜNG NÔNG THÔN</t>
  </si>
  <si>
    <t>Sở Nông nghiệp và PTNT chủ trì, phối hợp với Văn phòng Điều phối NTM tỉnh và các đơn vị liên quan tham mưu UBND tỉnh phân bổ kinh phí thực hiện trước ngày 31/03/2018</t>
  </si>
  <si>
    <t>Thực hiện Chương trình khoa học, công nghệ phục vụ xây dựng NTM (Quyết định số 45/QĐ-TTg ngày 12/01/2017 của TTCP</t>
  </si>
  <si>
    <t>Thực hiện Chương trình "mỗi xã một sản phẩm"</t>
  </si>
  <si>
    <t xml:space="preserve">Sở Nông nghiệp và PTNT chủ trì, phối hợp với Văn phòng Điều phối NTM tỉnh và các đơn vị liên quan tham mưu UBND tỉnh phân bổ kinh phí thực hiện </t>
  </si>
  <si>
    <t>Xây dựng mô hình cửa hàng thương mại dịch vụ có liên kết với sản xuất, gắn với thực hiện Chương trình OCOP</t>
  </si>
  <si>
    <t>Sở Công Thương chủ trì, phối hợp với các đơn vị liên quan tham mưu UBND tỉnh phân bổ kinh phí thực hiện trước ngày 31/03/2018</t>
  </si>
  <si>
    <t>Xây dựng mô hình theo các tiêu chí (12 mô hình, mỗi mô hình 150 triệu)</t>
  </si>
  <si>
    <t>Văn phòng Điều phối NTM tỉnh chủ trì, phối hợp với Sở Nông nghiệp và PTNT và các đơn vị liên quan tham mưu UBND tỉnh phân bổ kinh phí thực hiện trước ngày 31/03/2018</t>
  </si>
  <si>
    <t>Hỗ trợ các xã xây dựng xã nông thôn mới kiểu mẫu</t>
  </si>
  <si>
    <t>Văn phòng Điều phối NTM tỉnh chủ trì, phối hợp với Sở Nông nghiệp và PTNT tham mưu UBND tỉnh phân bổ kinh phí thực hiện</t>
  </si>
  <si>
    <t>Hỗ trợ nâng cấp, mở rộng các mô hình trải nghiệm, học tập xây dựng nông thôn mới</t>
  </si>
  <si>
    <t xml:space="preserve">Văn phòng Điều phối NTM tỉnh chủ trì, phối hợp với các đơn vị liên quan tham mưu UBND tỉnh phân bổ kinh phí thực hiện </t>
  </si>
  <si>
    <t xml:space="preserve">Hỗ trợ phát triển ngành nghề nông thôn theo quy định tại Nghị định số 66/2006/NĐ-CP ngày 07/7/2006 của Chính phủ </t>
  </si>
  <si>
    <t xml:space="preserve">Sở Nông nghiệp và PTNT chủ trì, phối hợp với các đơn vị liên quan tham mưu UBND tỉnh phân bổ kinh phí thực hiện </t>
  </si>
  <si>
    <t>Nâng cao chất lượng đời sống văn hóa của người dân NTM</t>
  </si>
  <si>
    <t>Vệ sinh môi trường nông thôn, khắc phục ô nhiễm và cải thiện môi trường tại các làng nghề</t>
  </si>
  <si>
    <t>Sở Tài nguyên và Môi trường chủ trì, phối hợp với Văn phòng Điều phối NTM tỉnh  tham mưu UBND tỉnh phân bổ hỗ trợ cho các xã thực hiện</t>
  </si>
  <si>
    <t>Nâng cao năng lực, giám sát, đánh giá thực hiện chương trình; truyền thông về xây dựng NTM</t>
  </si>
  <si>
    <t>Truyền thông về xây dựng NTM</t>
  </si>
  <si>
    <t xml:space="preserve">Báo Hà Tĩnh </t>
  </si>
  <si>
    <t xml:space="preserve">Thực hiện Cuộc vận động “Toàn dân đoàn kết xây dựng NTM, đô thị văn minh”  </t>
  </si>
  <si>
    <t>Các báo đài và cơ quan khác</t>
  </si>
  <si>
    <t>Thực hiện theo chỉ đạo của Ban chỉ đạo Chương trình NTM tỉnh, UBND tỉnh</t>
  </si>
  <si>
    <t>Công tác giám sát, đánh giá thực hiện Chương trình; Chi quản lý Chương trình</t>
  </si>
  <si>
    <t>Kinh phí quản lý, chỉ đạo thực hiện chương trình</t>
  </si>
  <si>
    <t>VPĐP nông thôn mới tỉnh chủ trì, phối hợp với các đơn vị liên quan tham mưu UBND tỉnh phân bổ kinh phí thực hiện theo hướng dẫn của Bộ Nông nghiệp và Phát triển nông thôn trước ngày 30/3/2018</t>
  </si>
  <si>
    <t>Sở Nông nghiệp và PTNT chủ trì, phối hợp với các đơn vị liên quan tham mưu UBND tỉnh phân bổ kinh phí thực hiện trước ngày 31/03/2018</t>
  </si>
  <si>
    <t>Hỗ trợ các địa phương thực hiện chương trình NTM</t>
  </si>
  <si>
    <t>Hỗ trợ cấp huyện (kinh phí truyền thông, tập huấn)</t>
  </si>
  <si>
    <t>Hỗ trợ các huyện, thành phố, thị xã theo mức 15 triệu đồng/xã; riêng thị xã Hồng Lĩnh hỗ trợ 50 triệu đồng</t>
  </si>
  <si>
    <t>Hỗ trợ các xã (không bao gồm kinh phí quản lý, chỉ đạo thực hiện Chương trình)</t>
  </si>
  <si>
    <t>Hỗ trợ các huyện, thành phố, thị xã theo mức 200 triệu đồng/xã đăng ký đạt chuẩn năm 2018 và 100 triệu đồng/xã còn lại; UBND cấp huyện phân bổ hỗ trợ các xã theo tình hình thực tế tại các địa phương</t>
  </si>
  <si>
    <t>VIII</t>
  </si>
  <si>
    <t>Vốn sự nghiệp</t>
  </si>
  <si>
    <t>Sở Tài chính (Hướng dẫn, kiểm tra công tác quản lý, sử dụng vốn nông thôn mới)</t>
  </si>
  <si>
    <t>Văn phòng Điều phối nông thôn mới tỉnh (Phục vụ hoạt động quản lý, chỉ đạo thực hiện Chương trình)</t>
  </si>
  <si>
    <t>Số lượng xã</t>
  </si>
  <si>
    <t>1. Tuyên truyền, tập huấn cấp huyện</t>
  </si>
  <si>
    <t>Tổng số</t>
  </si>
  <si>
    <t>Thị xã Kỳ Anh</t>
  </si>
  <si>
    <t>Thành phố Hà Tĩnh</t>
  </si>
  <si>
    <t>Huyên Can Lộc</t>
  </si>
  <si>
    <t>Thị xã Hồng Lĩnh</t>
  </si>
  <si>
    <t>TỔNG CỘNG</t>
  </si>
  <si>
    <t>Phân bổ cho UBND các huyện, thị xã, thành phố thực hiện (15 triệu đồng/xã thuộc huyện), riêng thị xã Hồng Lĩnh hỗ trợ 50 triệu đồng (chi tiết theo Phụ lục 02 đính kèm)</t>
  </si>
  <si>
    <t>PHÂN BỔ NGUỒN VỐN NGÂN SÁCH TRUNG ƯƠNG HỖ TRỢ THỰC HIỆN 
CHƯƠNG TRÌNH MTQG XÂY DỰNG NÔNG THÔN MỚI NĂM 2018</t>
  </si>
  <si>
    <t>B</t>
  </si>
  <si>
    <t>A</t>
  </si>
  <si>
    <t>1.3</t>
  </si>
  <si>
    <t>1.4</t>
  </si>
  <si>
    <t>Chi tiết theo phụ lục 4</t>
  </si>
  <si>
    <t>Sở Văn hóa Thể thao và Du lịch chủ trì, phối hợp với Văn phòng Điều phối NTM tỉnh tham mưu UBND tỉnh phân bổ kinh phí thực hiện trước ngày 31/3/2018</t>
  </si>
  <si>
    <t>Sở Giáo dục và Đào tạo chủ trì, phối hợp với Văn phòng Điều phối NTM tỉnh tham mưu UBND tỉnh phân bổ kinh phí thực hiện trước ngày 31/3/2018</t>
  </si>
  <si>
    <t>Sở Lao động Thương binh và Xã hội chủ trì, phối hợp với các đơn vị liên quan tham mưu UBND tỉnh phân bổ kinh phí thực hiện trước ngày 31/3/2018</t>
  </si>
  <si>
    <t>Sở Nông nghiệp và PTNT chủ trì, phối hợp với Văn phòng Điều phối NTM tỉnh và Liên minh Hợp tác xã tham mưu UBND tỉnh phân bổ kinh phí thực hiện trước ngày 31/3/2018</t>
  </si>
  <si>
    <t>2. Hỗ trợ các xã thực hiện Chương trình NTM (không bao gồm kinh phí quản lý, chỉ đạo)</t>
  </si>
  <si>
    <t>PHỤ LỤC SỐ 04</t>
  </si>
  <si>
    <t xml:space="preserve"> KẾ HOẠCH VỐN SỰ NGHIỆP NSTW HỖ TRỢ THỰC HIỆN CHƯƠNG TRÌNH MTQG XÂY DỰNG
 NÔNG THÔN MỚI NĂM 2018 CHO CÁC HUYỆN, THÀNH PHỐ, THỊ XÃ</t>
  </si>
  <si>
    <t>KẾ HOẠCH VỐN ĐẦU TƯ PHÁT TRIỂN NSTW HỖ TRỢ THỰC HIỆN CHƯƠNG TRÌNH MTQG XÂY DỰNG 
NÔNG THÔN MỚI NĂM 2018 CHO CÁC HUYỆN, THÀNH PHỐ, THỊ XÃ</t>
  </si>
  <si>
    <t>Xã đăng ký đạt chuẩn năm 2018</t>
  </si>
  <si>
    <t>Dự phòng thực hiện các nhiệm vụ đột xuất</t>
  </si>
  <si>
    <t>Sở Tài chính</t>
  </si>
  <si>
    <t>Văn phòng Điều phối nông thôn mới tỉnh</t>
  </si>
  <si>
    <t>VP NTM</t>
  </si>
  <si>
    <t>Xây dựng mô hình sản xuất liên kết theo chuỗi giá trị, có ứng dụng công nghệ cao, nông nghiệp hữu cơ, có truy xuất nguồn gốc, có nhãn mác và mã vạch (xây dựng 04 mô hình, mỗi mô hình 500 triệu đồng)</t>
  </si>
  <si>
    <t>Phát triển sản xuất liên kết theo chuỗi giá trị và phát triển ngành nghề nông thôn</t>
  </si>
  <si>
    <t>Hỗ trợ phát triển hợp tác xã giai đoạn 2015- 2020 (Quyết định số 2261/QĐ-TTg ngày 15/12/2014 của TTCP)</t>
  </si>
  <si>
    <t>Nâng cao chất lượng đào tạo nghề cho lao động nông thôn</t>
  </si>
  <si>
    <t xml:space="preserve">Văn phòng Điều phối NTM tỉnh chủ trì thực hiện </t>
  </si>
  <si>
    <t>Tập huấn khu dân cư mẫu, vườn mẫu, XD xã NTM kiểu mẫu; cơ chế chính sách, ứng xử văn hoá nông thôn mới, OCOP.…</t>
  </si>
  <si>
    <t xml:space="preserve">Kinh phí tổ chức Hội thi Khu dân cư nông thôn mới kiểu mẫu, vườn mẫu và phối hợp Hội thảo toàn quốc Khu dân cư nông thôn mới kiểu mẫu </t>
  </si>
  <si>
    <t>Hoạt động của trang Web nông thôn mới  (hosting; nhuận bút, nhuận ảnh, quản trị....), cổng thông tin điện tử tư vấn chính sách, vay vốn,…</t>
  </si>
  <si>
    <t xml:space="preserve"> Học tập, hội thảo, trao đổi kinh nghiệm xây dựng nông thôn mới  </t>
  </si>
  <si>
    <t>Kinh phí thực hiện theo chuyên đề chuyên sâu của liên ngành tại cơ sở đối với các xã có tiêu chí khó khăn, xã có tiêu chí thấp xã đăng ký đạt chuẩn trong năm, xã đăng ký đạt chuẩn nông thôn mới kiểu mẫu…</t>
  </si>
  <si>
    <t>In ấn các loại sổ tay hướng dẫn (tài liệu của Trung ương và của tỉnh)</t>
  </si>
  <si>
    <t>Thực hiện các nội dung về Nước sạch và Vệ sinh môi trường nông thôn</t>
  </si>
  <si>
    <t>X</t>
  </si>
  <si>
    <t>XI</t>
  </si>
  <si>
    <t>Ủy ban Mặt trận Tổ quốc tỉnh</t>
  </si>
  <si>
    <t>Phát triển sản xuất gắn với tái cơ cấu ngành nông nghiệp, chyển dịch cơ cấu kinh tế nông thôn, nâng cao thu nhập cho người dân; phát triển hợp tác xã; xây dựng mô hình mẫu, xã nông thôn mới kiểu mẫu…</t>
  </si>
  <si>
    <t>2.1</t>
  </si>
  <si>
    <t>2.2</t>
  </si>
  <si>
    <t>Tập huấn nâng cao năng lực, nhận thức cho cộng đồng và người dân về NTM và thực hiện các nhiệm vụ khác</t>
  </si>
  <si>
    <t>Thực hiện VSMTNT, khắc phục ô nhiễm và cải thiện môi trường tại các làng nghề</t>
  </si>
  <si>
    <t>Văn phòng Điều phối NTM tỉnh</t>
  </si>
  <si>
    <t>2.3</t>
  </si>
  <si>
    <t>2.4</t>
  </si>
  <si>
    <t>2.5</t>
  </si>
  <si>
    <t>a</t>
  </si>
  <si>
    <t>b</t>
  </si>
  <si>
    <t>c</t>
  </si>
  <si>
    <t>2.6</t>
  </si>
  <si>
    <r>
      <t xml:space="preserve">Phát triển giáo dục ở Nông thôn </t>
    </r>
    <r>
      <rPr>
        <sz val="14"/>
        <color indexed="8"/>
        <rFont val="Times New Roman"/>
        <family val="1"/>
      </rPr>
      <t>(Hỗ trợ phổ cập mầm non 5 tuổi, xóa mù chữ và chống tái mù chữ, duy trì kết quả phổ cập giáo dục tiểu học, thực hiện phổ cập giáo dục trung học cơ sở đúng độ tuổi và hỗ trợ phổ cập giáo dục trung học cơ sở đúng độ tuổi và hỗ trợ phổ cập giáo dục trung học)</t>
    </r>
  </si>
  <si>
    <r>
      <t xml:space="preserve">Kinh phí thực hiện Chương trình "Hỗ trợ thực hiện hai Chương trình XD NTM và Giảm nghèo bền vững giai đoạn 2016-2020" để thực hiện các nhiệm vụ giám sát, kiểm đếm, nâng cao năng lực… </t>
    </r>
    <r>
      <rPr>
        <sz val="14"/>
        <color indexed="8"/>
        <rFont val="Times New Roman"/>
        <family val="1"/>
      </rPr>
      <t xml:space="preserve"> theo hướng dẫn của Bộ NN&amp;PTNT tại Văn bản 10959/BNN-VPĐP ngày 29/12/2017</t>
    </r>
  </si>
  <si>
    <t>169 xã đã đạt chuẩn NTM năm 2016 trở về trước và các xã còn lại: hệ số 1,0</t>
  </si>
  <si>
    <t>32 xã đạt từ 15 tiêu chí trở lên, đăng ký đạt chuẩn 2018 và các xã đạt chuẩn năm 2017-đạt chuẩn trước kế hoạch 1 năm: hệ số 1,3. Trong đó: 
 + có 16 xã đăng ký đạt chuẩn năm 2018 (có 23 xã đăng ký theo đề nghị của VP điều phối NTM tỉnh tại Văn bản số 20/VPĐP-ĐPNV ngày 09/01/2018, nhưng 6 xã là xã khó khăn đã tính ở trên nên chỉ còn 18 xã; xã Đức Đồng đã đăng ký đạt chuẩn 2017 nên đã tính được hưởng hệ số 1,3 năm 2017 nên năm 2018 tính hệ số 1,0)
  + Có 3 xã đạt từ 15 tiêu chí trở lên đến nay chưa đạt chuẩn: Cẩm Thạch, Thạch Hưng, Sơn Tân (theo báo cáo tổng hợp của VPĐP NTM tỉnh từ các huyện, thị xã, thành phố đến 31/12/2017); 
  + Có 13 xã đã đạt chuẩn năm 2017 nhưng không thuộc danh sách phê duyệt xã đăng ký đạt chuẩn năm 2017 của UBND tỉnh từ đầu năm: phân bổ hệ số 1,3 để cấp bù phần chênh lệch, gồm: Mỹ Lộc, Cẩm Hưng, Kỳ Giang, Sơn Hà, Thạch Thắng, Thạch Thanh, Kỳ Xuân, Sơn Hòa, Sơn Lộc, Trung Lộc, Việt Xuyên, Xuân Yên và Yên Lộc)</t>
  </si>
  <si>
    <t>ỦY BAN NHÂN DÂN TỈNH</t>
  </si>
  <si>
    <t>Đơn vị tính: Triệu đồng</t>
  </si>
  <si>
    <r>
      <t xml:space="preserve">Số tiền
</t>
    </r>
    <r>
      <rPr>
        <sz val="12"/>
        <color theme="1"/>
        <rFont val="Times New Roman"/>
        <family val="1"/>
      </rPr>
      <t>(Triệu đồng)</t>
    </r>
  </si>
  <si>
    <t>Truyền thông về công tác môi trường</t>
  </si>
  <si>
    <t>Sở Tài nguyên và Môi trường chủ trì, phối hợp với Văn phòng Điều phối NTM tỉnh thực hiện</t>
  </si>
  <si>
    <r>
      <t>(Kèm theo Quyết định số: 650 /QĐ-UBND</t>
    </r>
    <r>
      <rPr>
        <i/>
        <sz val="14"/>
        <color indexed="8"/>
        <rFont val="Times New Roman"/>
        <family val="1"/>
      </rPr>
      <t xml:space="preserve"> ngày 07/3/2018 của UBND tỉnh)</t>
    </r>
  </si>
  <si>
    <t>(Kèm theo Quyết định số: 650 /QĐ-UBND ngày 07/3/2018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</si>
</sst>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_);[Red]\(&quot;$&quot;#,##0\)"/>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_(* \(#,##0\);_(* &quot;-&quot;??_);_(@_)"/>
    <numFmt numFmtId="167" formatCode="_(* #,##0.0_);_(* \(#,##0.0\);_(* &quot;-&quot;??_);_(@_)"/>
    <numFmt numFmtId="168" formatCode="_(* #,##0.0_);_(* \(#,##0.0\);_(* &quot;-&quot;?_);_(@_)"/>
    <numFmt numFmtId="169" formatCode="_(* #,##0.0000_);_(* \(#,##0.0000\);_(* &quot;-&quot;??_);_(@_)"/>
    <numFmt numFmtId="170" formatCode="0.000"/>
    <numFmt numFmtId="171" formatCode="#,##0.0"/>
    <numFmt numFmtId="172" formatCode="00.000"/>
    <numFmt numFmtId="173" formatCode="&quot;?&quot;#,##0;&quot;?&quot;\-#,##0"/>
    <numFmt numFmtId="174" formatCode="_-* #,##0_-;\-* #,##0_-;_-* &quot;-&quot;_-;_-@_-"/>
    <numFmt numFmtId="175" formatCode="&quot;$&quot;#,##0;[Red]\-&quot;$&quot;#,##0"/>
    <numFmt numFmtId="176" formatCode="&quot;\&quot;#,##0.00;[Red]&quot;\&quot;\-#,##0.00"/>
    <numFmt numFmtId="177" formatCode="&quot;\&quot;#,##0;[Red]&quot;\&quot;\-#,##0"/>
    <numFmt numFmtId="178" formatCode="#,##0\ &quot;F&quot;;[Red]\-#,##0\ &quot;F&quot;"/>
    <numFmt numFmtId="179" formatCode="#,##0.00\ &quot;F&quot;;\-#,##0.00\ &quot;F&quot;"/>
    <numFmt numFmtId="180" formatCode="\$#,##0\ ;\(\$#,##0\)"/>
    <numFmt numFmtId="181" formatCode="_-&quot;£&quot;* #,##0_-;\-&quot;£&quot;* #,##0_-;_-&quot;£&quot;* &quot;-&quot;_-;_-@_-"/>
    <numFmt numFmtId="182" formatCode="#,##0\ &quot;kr&quot;;\-#,##0\ &quot;kr&quot;"/>
    <numFmt numFmtId="183" formatCode="#,##0\ &quot;DM&quot;;\-#,##0\ &quot;DM&quot;"/>
    <numFmt numFmtId="184" formatCode="0.000%"/>
    <numFmt numFmtId="185" formatCode="&quot;￥&quot;#,##0;&quot;￥&quot;\-#,##0"/>
    <numFmt numFmtId="186" formatCode="_-* #,##0.00_-;\-* #,##0.00_-;_-* &quot;-&quot;??_-;_-@_-"/>
    <numFmt numFmtId="187" formatCode="_-&quot;$&quot;* #,##0_-;\-&quot;$&quot;* #,##0_-;_-&quot;$&quot;* &quot;-&quot;_-;_-@_-"/>
    <numFmt numFmtId="188" formatCode="_-&quot;$&quot;* #,##0.00_-;\-&quot;$&quot;* #,##0.00_-;_-&quot;$&quot;* &quot;-&quot;??_-;_-@_-"/>
  </numFmts>
  <fonts count="151">
    <font>
      <sz val="11"/>
      <color theme="1"/>
      <name val="Calibri"/>
      <family val="2"/>
    </font>
    <font>
      <sz val="11"/>
      <color indexed="8"/>
      <name val="Calibri"/>
      <family val="2"/>
    </font>
    <font>
      <sz val="11"/>
      <color indexed="8"/>
      <name val="Calibri"/>
      <family val="2"/>
    </font>
    <font>
      <sz val="12"/>
      <color indexed="8"/>
      <name val="Times New Roman"/>
      <family val="1"/>
    </font>
    <font>
      <b/>
      <sz val="12"/>
      <color indexed="8"/>
      <name val="Times New Roman"/>
      <family val="1"/>
    </font>
    <font>
      <sz val="8"/>
      <name val="Calibri"/>
      <family val="2"/>
    </font>
    <font>
      <sz val="10"/>
      <name val="Times New Roman"/>
      <family val="1"/>
    </font>
    <font>
      <sz val="10"/>
      <name val="Arial"/>
      <family val="2"/>
    </font>
    <font>
      <sz val="11"/>
      <name val="Times New Roman"/>
      <family val="1"/>
    </font>
    <font>
      <sz val="12"/>
      <name val="Times New Roman"/>
      <family val="1"/>
    </font>
    <font>
      <b/>
      <sz val="12"/>
      <name val="Times New Roman"/>
      <family val="1"/>
    </font>
    <font>
      <sz val="10"/>
      <name val="Arial"/>
      <family val="2"/>
    </font>
    <font>
      <b/>
      <i/>
      <sz val="12"/>
      <name val="Times New Roman"/>
      <family val="1"/>
    </font>
    <font>
      <sz val="10"/>
      <name val=".VnTime"/>
      <family val="2"/>
    </font>
    <font>
      <b/>
      <sz val="14"/>
      <name val="Times New Roman"/>
      <family val="1"/>
    </font>
    <font>
      <sz val="14"/>
      <name val="Times New Roman"/>
      <family val="1"/>
    </font>
    <font>
      <sz val="14"/>
      <color indexed="8"/>
      <name val="Times New Roman"/>
      <family val="1"/>
    </font>
    <font>
      <i/>
      <sz val="14"/>
      <name val="Times New Roman"/>
      <family val="1"/>
    </font>
    <font>
      <b/>
      <i/>
      <sz val="11"/>
      <name val="Times New Roman"/>
      <family val="1"/>
    </font>
    <font>
      <sz val="13"/>
      <name val="Times New Roman"/>
      <family val="1"/>
    </font>
    <font>
      <b/>
      <sz val="13"/>
      <name val="Times New Roman"/>
      <family val="1"/>
    </font>
    <font>
      <i/>
      <sz val="13"/>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
      <family val="3"/>
    </font>
    <font>
      <sz val="14"/>
      <name val="??"/>
      <family val="3"/>
    </font>
    <font>
      <sz val="12"/>
      <name val="????"/>
      <charset val="136"/>
    </font>
    <font>
      <sz val="12"/>
      <name val="???"/>
      <family val="3"/>
    </font>
    <font>
      <sz val="12"/>
      <name val="Courier"/>
      <family val="3"/>
    </font>
    <font>
      <sz val="10"/>
      <name val="?? ??"/>
      <family val="1"/>
      <charset val="136"/>
    </font>
    <font>
      <sz val="11"/>
      <name val="–¾’©"/>
      <family val="1"/>
      <charset val="128"/>
    </font>
    <font>
      <b/>
      <u/>
      <sz val="14"/>
      <color indexed="8"/>
      <name val=".VnBook-AntiquaH"/>
      <family val="2"/>
    </font>
    <font>
      <sz val="11"/>
      <name val=".VnTime"/>
      <family val="2"/>
    </font>
    <font>
      <i/>
      <sz val="12"/>
      <color indexed="8"/>
      <name val=".VnBook-AntiquaH"/>
      <family val="2"/>
    </font>
    <font>
      <sz val="13"/>
      <color indexed="8"/>
      <name val="Times New Roman"/>
      <family val="2"/>
    </font>
    <font>
      <b/>
      <sz val="12"/>
      <color indexed="8"/>
      <name val=".VnBook-Antiqua"/>
      <family val="2"/>
    </font>
    <font>
      <i/>
      <sz val="12"/>
      <color indexed="8"/>
      <name val=".VnBook-Antiqua"/>
      <family val="2"/>
    </font>
    <font>
      <sz val="13"/>
      <color indexed="9"/>
      <name val="Times New Roman"/>
      <family val="2"/>
    </font>
    <font>
      <sz val="12"/>
      <name val="¹UAAA¼"/>
      <family val="3"/>
      <charset val="129"/>
    </font>
    <font>
      <sz val="12"/>
      <name val="¹ÙÅÁÃ¼"/>
      <family val="1"/>
      <charset val="129"/>
    </font>
    <font>
      <sz val="10"/>
      <name val="Arial"/>
      <family val="2"/>
      <charset val="163"/>
    </font>
    <font>
      <sz val="12"/>
      <name val="Helv"/>
      <family val="2"/>
    </font>
    <font>
      <sz val="10"/>
      <name val="±¼¸²A¼"/>
      <family val="3"/>
      <charset val="129"/>
    </font>
    <font>
      <sz val="12"/>
      <name val=".VnTime"/>
      <family val="2"/>
    </font>
    <font>
      <sz val="12"/>
      <name val="Times New Roman"/>
      <family val="1"/>
      <charset val="163"/>
    </font>
    <font>
      <sz val="10"/>
      <color indexed="8"/>
      <name val=".VnTime"/>
      <family val="2"/>
    </font>
    <font>
      <sz val="11"/>
      <color indexed="8"/>
      <name val="Calibri"/>
      <family val="2"/>
      <charset val="163"/>
    </font>
    <font>
      <sz val="11"/>
      <color indexed="8"/>
      <name val="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sz val="8"/>
      <name val="Arial"/>
      <family val="2"/>
    </font>
    <font>
      <b/>
      <sz val="12"/>
      <name val="Arial"/>
      <family val="2"/>
    </font>
    <font>
      <b/>
      <sz val="18"/>
      <name val="Arial"/>
      <family val="2"/>
    </font>
    <font>
      <b/>
      <sz val="14"/>
      <name val=".VnTimeH"/>
      <family val="2"/>
    </font>
    <font>
      <b/>
      <sz val="13"/>
      <color indexed="9"/>
      <name val="Times New Roman"/>
      <family val="2"/>
    </font>
    <font>
      <sz val="12"/>
      <name val="Arial"/>
      <family val="2"/>
    </font>
    <font>
      <sz val="13"/>
      <color indexed="52"/>
      <name val="Times New Roman"/>
      <family val="2"/>
    </font>
    <font>
      <b/>
      <sz val="13"/>
      <color indexed="52"/>
      <name val="Times New Roman"/>
      <family val="2"/>
    </font>
    <font>
      <b/>
      <sz val="13"/>
      <color indexed="8"/>
      <name val="Times New Roman"/>
      <family val="2"/>
    </font>
    <font>
      <sz val="13"/>
      <color indexed="17"/>
      <name val="Times New Roman"/>
      <family val="2"/>
    </font>
    <font>
      <sz val="13"/>
      <color indexed="60"/>
      <name val="Times New Roman"/>
      <family val="2"/>
    </font>
    <font>
      <sz val="13"/>
      <color indexed="10"/>
      <name val="Times New Roman"/>
      <family val="2"/>
    </font>
    <font>
      <i/>
      <sz val="13"/>
      <color indexed="23"/>
      <name val="Times New Roman"/>
      <family val="2"/>
    </font>
    <font>
      <sz val="13"/>
      <color indexed="20"/>
      <name val="Times New Roman"/>
      <family val="2"/>
    </font>
    <font>
      <sz val="14"/>
      <name val=".VnArial"/>
      <family val="2"/>
    </font>
    <font>
      <sz val="10"/>
      <name val=" "/>
      <family val="1"/>
      <charset val="136"/>
    </font>
    <font>
      <sz val="14"/>
      <name val="뼻뮝"/>
      <family val="3"/>
    </font>
    <font>
      <sz val="12"/>
      <name val="바탕체"/>
      <family val="3"/>
    </font>
    <font>
      <sz val="12"/>
      <name val="뼻뮝"/>
      <family val="3"/>
    </font>
    <font>
      <sz val="11"/>
      <name val="돋움"/>
      <family val="3"/>
    </font>
    <font>
      <sz val="10"/>
      <name val="굴림체"/>
      <family val="3"/>
    </font>
    <font>
      <sz val="9"/>
      <name val="Arial"/>
      <family val="2"/>
    </font>
    <font>
      <sz val="10"/>
      <color indexed="8"/>
      <name val=".VnTime"/>
      <family val="2"/>
    </font>
    <font>
      <sz val="11"/>
      <name val="Calibri"/>
      <family val="2"/>
    </font>
    <font>
      <b/>
      <sz val="11"/>
      <name val="Calibri"/>
      <family val="2"/>
    </font>
    <font>
      <b/>
      <sz val="11"/>
      <color indexed="10"/>
      <name val="Calibri"/>
      <family val="2"/>
    </font>
    <font>
      <sz val="11"/>
      <color indexed="8"/>
      <name val="Calibri"/>
      <family val="2"/>
    </font>
    <font>
      <b/>
      <sz val="14"/>
      <color indexed="8"/>
      <name val="Times New Roman"/>
      <family val="1"/>
    </font>
    <font>
      <b/>
      <sz val="14"/>
      <color indexed="8"/>
      <name val="Calibri"/>
      <family val="2"/>
    </font>
    <font>
      <sz val="10"/>
      <name val=".VnTime"/>
      <family val="2"/>
    </font>
    <font>
      <b/>
      <i/>
      <sz val="11"/>
      <color indexed="8"/>
      <name val="Times New Roman"/>
      <family val="1"/>
    </font>
    <font>
      <b/>
      <sz val="15"/>
      <name val="Times New Roman"/>
      <family val="1"/>
    </font>
    <font>
      <i/>
      <sz val="13"/>
      <color indexed="8"/>
      <name val="Times New Roman"/>
      <family val="1"/>
    </font>
    <font>
      <b/>
      <sz val="9"/>
      <name val="Times New Roman"/>
      <family val="1"/>
    </font>
    <font>
      <b/>
      <sz val="9"/>
      <color indexed="8"/>
      <name val="Times New Roman"/>
      <family val="1"/>
    </font>
    <font>
      <sz val="9"/>
      <name val="Times New Roman"/>
      <family val="1"/>
    </font>
    <font>
      <sz val="9"/>
      <color indexed="8"/>
      <name val="Times New Roman"/>
      <family val="1"/>
    </font>
    <font>
      <b/>
      <sz val="13.5"/>
      <name val="Times New Roman"/>
      <family val="1"/>
    </font>
    <font>
      <b/>
      <sz val="13.55"/>
      <name val="Times New Roman"/>
      <family val="1"/>
    </font>
    <font>
      <b/>
      <sz val="11"/>
      <color indexed="8"/>
      <name val="Calibri"/>
      <family val="2"/>
    </font>
    <font>
      <sz val="12"/>
      <color indexed="8"/>
      <name val="Times New Roman"/>
      <family val="1"/>
    </font>
    <font>
      <b/>
      <sz val="11.5"/>
      <color indexed="8"/>
      <name val="Times New Roman"/>
      <family val="1"/>
    </font>
    <font>
      <sz val="11.5"/>
      <color indexed="8"/>
      <name val="Times New Roman"/>
      <family val="1"/>
    </font>
    <font>
      <b/>
      <sz val="12.5"/>
      <color indexed="8"/>
      <name val="Times New Roman"/>
      <family val="1"/>
    </font>
    <font>
      <sz val="12.5"/>
      <color indexed="8"/>
      <name val="Times New Roman"/>
      <family val="1"/>
    </font>
    <font>
      <b/>
      <sz val="13"/>
      <color indexed="8"/>
      <name val="Times New Roman"/>
      <family val="1"/>
    </font>
    <font>
      <b/>
      <sz val="13"/>
      <color indexed="10"/>
      <name val="Times New Roman"/>
      <family val="1"/>
    </font>
    <font>
      <b/>
      <sz val="13"/>
      <color indexed="8"/>
      <name val="Times New Roman"/>
      <family val="1"/>
    </font>
    <font>
      <sz val="13"/>
      <color indexed="8"/>
      <name val="Times New Roman"/>
      <family val="1"/>
    </font>
    <font>
      <sz val="13"/>
      <color indexed="8"/>
      <name val="Calibri"/>
      <family val="2"/>
    </font>
    <font>
      <b/>
      <sz val="9"/>
      <color indexed="81"/>
      <name val="Tahoma"/>
      <family val="2"/>
    </font>
    <font>
      <i/>
      <sz val="12"/>
      <name val="Times New Roman"/>
      <family val="1"/>
    </font>
    <font>
      <b/>
      <sz val="12"/>
      <name val="Times New Roman"/>
      <family val="1"/>
      <charset val="163"/>
    </font>
    <font>
      <b/>
      <sz val="11"/>
      <name val="Times New Roman"/>
      <family val="1"/>
      <charset val="163"/>
    </font>
    <font>
      <sz val="9"/>
      <color indexed="81"/>
      <name val="Tahoma"/>
      <family val="2"/>
    </font>
    <font>
      <i/>
      <sz val="14"/>
      <color indexed="8"/>
      <name val="Times New Roman"/>
      <family val="1"/>
    </font>
    <font>
      <sz val="11"/>
      <color theme="1"/>
      <name val="Calibri"/>
      <family val="2"/>
    </font>
    <font>
      <sz val="11"/>
      <color theme="1"/>
      <name val="Arial"/>
      <family val="2"/>
    </font>
    <font>
      <sz val="14"/>
      <color theme="1"/>
      <name val="Times New Roman"/>
      <family val="2"/>
    </font>
    <font>
      <sz val="11"/>
      <color theme="1"/>
      <name val="Calibri"/>
      <family val="2"/>
      <scheme val="minor"/>
    </font>
    <font>
      <sz val="10"/>
      <color theme="1"/>
      <name val=".VnTime"/>
      <family val="2"/>
    </font>
    <font>
      <sz val="12"/>
      <color rgb="FFFF0000"/>
      <name val="Times New Roman"/>
      <family val="1"/>
    </font>
    <font>
      <b/>
      <sz val="12"/>
      <color rgb="FFFF0000"/>
      <name val="Times New Roman"/>
      <family val="1"/>
    </font>
    <font>
      <i/>
      <sz val="13"/>
      <color theme="1"/>
      <name val="Times New Roman"/>
      <family val="1"/>
    </font>
    <font>
      <sz val="14"/>
      <color theme="1"/>
      <name val="Times New Roman"/>
      <family val="1"/>
    </font>
    <font>
      <b/>
      <sz val="14"/>
      <color theme="1"/>
      <name val="Times New Roman"/>
      <family val="1"/>
    </font>
    <font>
      <sz val="11"/>
      <color theme="1"/>
      <name val="Times New Roman"/>
      <family val="1"/>
    </font>
    <font>
      <b/>
      <sz val="11"/>
      <color theme="1"/>
      <name val="Times New Roman"/>
      <family val="1"/>
    </font>
    <font>
      <b/>
      <sz val="12"/>
      <color theme="1"/>
      <name val="Times New Roman"/>
      <family val="1"/>
    </font>
    <font>
      <i/>
      <sz val="14"/>
      <color theme="1"/>
      <name val="Times New Roman"/>
      <family val="1"/>
    </font>
    <font>
      <i/>
      <sz val="12"/>
      <color theme="1"/>
      <name val="Times New Roman"/>
      <family val="1"/>
    </font>
    <font>
      <b/>
      <sz val="13"/>
      <color theme="1"/>
      <name val="Times New Roman"/>
      <family val="1"/>
    </font>
    <font>
      <sz val="14"/>
      <color theme="1"/>
      <name val="Calibri"/>
      <family val="2"/>
    </font>
    <font>
      <b/>
      <i/>
      <sz val="14"/>
      <color theme="1"/>
      <name val="Times New Roman"/>
      <family val="1"/>
    </font>
    <font>
      <b/>
      <sz val="14"/>
      <color theme="1"/>
      <name val="Calibri"/>
      <family val="2"/>
    </font>
    <font>
      <b/>
      <i/>
      <sz val="14"/>
      <color theme="1"/>
      <name val="Calibri"/>
      <family val="2"/>
    </font>
    <font>
      <b/>
      <sz val="16"/>
      <color theme="1"/>
      <name val="Times New Roman"/>
      <family val="1"/>
    </font>
    <font>
      <b/>
      <sz val="15"/>
      <color theme="1"/>
      <name val="Times New Roman"/>
      <family val="1"/>
    </font>
    <font>
      <sz val="13"/>
      <color theme="1"/>
      <name val="Times New Roman"/>
      <family val="1"/>
    </font>
    <font>
      <sz val="16"/>
      <color theme="1"/>
      <name val="Times New Roman"/>
      <family val="1"/>
    </font>
    <font>
      <i/>
      <sz val="16"/>
      <color theme="1"/>
      <name val="Times New Roman"/>
      <family val="1"/>
    </font>
    <font>
      <i/>
      <sz val="15"/>
      <color theme="1"/>
      <name val="Times New Roman"/>
      <family val="1"/>
    </font>
    <font>
      <i/>
      <u/>
      <sz val="14"/>
      <color theme="1"/>
      <name val="Times New Roman"/>
      <family val="1"/>
    </font>
    <font>
      <sz val="12"/>
      <color theme="1"/>
      <name val="Times New Roman"/>
      <family val="1"/>
    </font>
  </fonts>
  <fills count="2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26"/>
        <bgColor indexed="64"/>
      </patternFill>
    </fill>
    <fill>
      <patternFill patternType="solid">
        <fgColor indexed="43"/>
      </patternFill>
    </fill>
    <fill>
      <patternFill patternType="solid">
        <fgColor indexed="9"/>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thin">
        <color indexed="62"/>
      </top>
      <bottom style="double">
        <color indexed="62"/>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s>
  <cellStyleXfs count="275">
    <xf numFmtId="0" fontId="0" fillId="0" borderId="0"/>
    <xf numFmtId="172" fontId="38" fillId="0" borderId="0" applyFont="0" applyFill="0" applyBorder="0" applyAlignment="0" applyProtection="0"/>
    <xf numFmtId="0" fontId="39" fillId="0" borderId="0" applyFont="0" applyFill="0" applyBorder="0" applyAlignment="0" applyProtection="0"/>
    <xf numFmtId="173" fontId="38" fillId="0" borderId="0" applyFont="0" applyFill="0" applyBorder="0" applyAlignment="0" applyProtection="0"/>
    <xf numFmtId="40" fontId="39" fillId="0" borderId="0" applyFont="0" applyFill="0" applyBorder="0" applyAlignment="0" applyProtection="0"/>
    <xf numFmtId="38" fontId="39" fillId="0" borderId="0" applyFont="0" applyFill="0" applyBorder="0" applyAlignment="0" applyProtection="0"/>
    <xf numFmtId="174" fontId="40" fillId="0" borderId="0" applyFont="0" applyFill="0" applyBorder="0" applyAlignment="0" applyProtection="0"/>
    <xf numFmtId="9" fontId="41" fillId="0" borderId="0" applyFont="0" applyFill="0" applyBorder="0" applyAlignment="0" applyProtection="0"/>
    <xf numFmtId="175" fontId="42" fillId="0" borderId="0" applyFont="0" applyFill="0" applyBorder="0" applyAlignment="0" applyProtection="0"/>
    <xf numFmtId="0" fontId="43" fillId="0" borderId="0" applyFont="0" applyFill="0" applyBorder="0" applyAlignment="0" applyProtection="0"/>
    <xf numFmtId="0" fontId="44" fillId="0" borderId="0"/>
    <xf numFmtId="0" fontId="45" fillId="2" borderId="0"/>
    <xf numFmtId="0" fontId="46" fillId="2" borderId="0"/>
    <xf numFmtId="0" fontId="46" fillId="2" borderId="0"/>
    <xf numFmtId="0" fontId="46" fillId="2" borderId="0"/>
    <xf numFmtId="0" fontId="46" fillId="2" borderId="0"/>
    <xf numFmtId="0" fontId="45" fillId="2" borderId="0"/>
    <xf numFmtId="0" fontId="47" fillId="2" borderId="0"/>
    <xf numFmtId="0" fontId="46" fillId="2" borderId="0"/>
    <xf numFmtId="0" fontId="46" fillId="2" borderId="0"/>
    <xf numFmtId="0" fontId="46" fillId="2" borderId="0"/>
    <xf numFmtId="0" fontId="46" fillId="2" borderId="0"/>
    <xf numFmtId="0" fontId="47" fillId="2"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9" fillId="2" borderId="0"/>
    <xf numFmtId="0" fontId="46" fillId="2" borderId="0"/>
    <xf numFmtId="0" fontId="46" fillId="2" borderId="0"/>
    <xf numFmtId="0" fontId="46" fillId="2" borderId="0"/>
    <xf numFmtId="0" fontId="46" fillId="2" borderId="0"/>
    <xf numFmtId="0" fontId="49" fillId="2" borderId="0"/>
    <xf numFmtId="0" fontId="50" fillId="0" borderId="0">
      <alignment wrapText="1"/>
    </xf>
    <xf numFmtId="0" fontId="46" fillId="0" borderId="0">
      <alignment wrapText="1"/>
    </xf>
    <xf numFmtId="0" fontId="46" fillId="0" borderId="0">
      <alignment wrapText="1"/>
    </xf>
    <xf numFmtId="0" fontId="46" fillId="0" borderId="0">
      <alignment wrapText="1"/>
    </xf>
    <xf numFmtId="0" fontId="46" fillId="0" borderId="0">
      <alignment wrapText="1"/>
    </xf>
    <xf numFmtId="0" fontId="50" fillId="0" borderId="0">
      <alignment wrapText="1"/>
    </xf>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51" fillId="13"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52" fillId="0" borderId="0" applyFont="0" applyFill="0" applyBorder="0" applyAlignment="0" applyProtection="0"/>
    <xf numFmtId="176" fontId="53" fillId="0" borderId="0" applyFont="0" applyFill="0" applyBorder="0" applyAlignment="0" applyProtection="0"/>
    <xf numFmtId="0" fontId="52" fillId="0" borderId="0" applyFont="0" applyFill="0" applyBorder="0" applyAlignment="0" applyProtection="0"/>
    <xf numFmtId="177" fontId="53" fillId="0" borderId="0" applyFont="0" applyFill="0" applyBorder="0" applyAlignment="0" applyProtection="0"/>
    <xf numFmtId="0" fontId="52" fillId="0" borderId="0" applyFont="0" applyFill="0" applyBorder="0" applyAlignment="0" applyProtection="0"/>
    <xf numFmtId="178" fontId="54" fillId="0" borderId="0" applyFont="0" applyFill="0" applyBorder="0" applyAlignment="0" applyProtection="0"/>
    <xf numFmtId="0" fontId="52" fillId="0" borderId="0" applyFont="0" applyFill="0" applyBorder="0" applyAlignment="0" applyProtection="0"/>
    <xf numFmtId="179" fontId="54" fillId="0" borderId="0" applyFont="0" applyFill="0" applyBorder="0" applyAlignment="0" applyProtection="0"/>
    <xf numFmtId="0" fontId="23" fillId="4" borderId="0" applyNumberFormat="0" applyBorder="0" applyAlignment="0" applyProtection="0"/>
    <xf numFmtId="0" fontId="52" fillId="0" borderId="0"/>
    <xf numFmtId="0" fontId="52" fillId="0" borderId="0"/>
    <xf numFmtId="37" fontId="55" fillId="0" borderId="0"/>
    <xf numFmtId="0" fontId="56" fillId="0" borderId="0"/>
    <xf numFmtId="170" fontId="54" fillId="0" borderId="0" applyFill="0" applyBorder="0" applyAlignment="0"/>
    <xf numFmtId="170" fontId="7" fillId="0" borderId="0" applyFill="0" applyBorder="0" applyAlignment="0"/>
    <xf numFmtId="0" fontId="24" fillId="21" borderId="1" applyNumberFormat="0" applyAlignment="0" applyProtection="0"/>
    <xf numFmtId="0" fontId="25" fillId="22" borderId="2" applyNumberFormat="0" applyAlignment="0" applyProtection="0"/>
    <xf numFmtId="43" fontId="2" fillId="0" borderId="0" applyFont="0" applyFill="0" applyBorder="0" applyAlignment="0" applyProtection="0"/>
    <xf numFmtId="41" fontId="57" fillId="0" borderId="0" applyFont="0" applyFill="0" applyBorder="0" applyAlignment="0" applyProtection="0"/>
    <xf numFmtId="41" fontId="57" fillId="0" borderId="0" applyFont="0" applyFill="0" applyBorder="0" applyAlignment="0" applyProtection="0"/>
    <xf numFmtId="164" fontId="9" fillId="0" borderId="0" applyFont="0" applyFill="0" applyBorder="0" applyAlignment="0" applyProtection="0"/>
    <xf numFmtId="41" fontId="13" fillId="0" borderId="0" applyFont="0" applyFill="0" applyBorder="0" applyAlignment="0" applyProtection="0"/>
    <xf numFmtId="164" fontId="58" fillId="0" borderId="0" applyFont="0" applyFill="0" applyBorder="0" applyAlignment="0" applyProtection="0"/>
    <xf numFmtId="43" fontId="7" fillId="0" borderId="0" applyFont="0" applyFill="0" applyBorder="0" applyAlignment="0" applyProtection="0"/>
    <xf numFmtId="173" fontId="9" fillId="0" borderId="0" applyFont="0" applyFill="0" applyBorder="0" applyAlignment="0" applyProtection="0"/>
    <xf numFmtId="173" fontId="58" fillId="0" borderId="0" applyFont="0" applyFill="0" applyBorder="0" applyAlignment="0" applyProtection="0"/>
    <xf numFmtId="43" fontId="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4" fillId="0" borderId="0" applyFont="0" applyFill="0" applyBorder="0" applyAlignment="0" applyProtection="0"/>
    <xf numFmtId="43" fontId="7" fillId="0" borderId="0" applyFont="0" applyFill="0" applyBorder="0" applyAlignment="0" applyProtection="0"/>
    <xf numFmtId="179" fontId="59" fillId="0" borderId="0" applyFont="0" applyFill="0" applyBorder="0" applyAlignment="0" applyProtection="0"/>
    <xf numFmtId="179" fontId="89" fillId="0" borderId="0" applyFont="0" applyFill="0" applyBorder="0" applyAlignment="0" applyProtection="0"/>
    <xf numFmtId="179" fontId="59" fillId="0" borderId="0" applyFont="0" applyFill="0" applyBorder="0" applyAlignment="0" applyProtection="0"/>
    <xf numFmtId="179"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5" fontId="9"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9" fontId="59" fillId="0" borderId="0" applyFont="0" applyFill="0" applyBorder="0" applyAlignment="0" applyProtection="0"/>
    <xf numFmtId="179" fontId="59" fillId="0" borderId="0" applyFont="0" applyFill="0" applyBorder="0" applyAlignment="0" applyProtection="0"/>
    <xf numFmtId="165" fontId="60"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0" fontId="61" fillId="0" borderId="0" applyFont="0" applyFill="0" applyBorder="0" applyAlignment="0" applyProtection="0"/>
    <xf numFmtId="43" fontId="1" fillId="0" borderId="0" applyFont="0" applyFill="0" applyBorder="0" applyAlignment="0" applyProtection="0"/>
    <xf numFmtId="0" fontId="61" fillId="0" borderId="0" applyFont="0" applyFill="0" applyBorder="0" applyAlignment="0" applyProtection="0"/>
    <xf numFmtId="43" fontId="1" fillId="0" borderId="0" applyFont="0" applyFill="0" applyBorder="0" applyAlignment="0" applyProtection="0"/>
    <xf numFmtId="0" fontId="61" fillId="0" borderId="0" applyFont="0" applyFill="0" applyBorder="0" applyAlignment="0" applyProtection="0"/>
    <xf numFmtId="0" fontId="7" fillId="0" borderId="0" applyFont="0" applyFill="0" applyBorder="0" applyAlignment="0" applyProtection="0"/>
    <xf numFmtId="0" fontId="61"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62" fillId="21" borderId="3" applyNumberFormat="0" applyAlignment="0" applyProtection="0"/>
    <xf numFmtId="0" fontId="63" fillId="8" borderId="1" applyNumberFormat="0" applyAlignment="0" applyProtection="0"/>
    <xf numFmtId="0" fontId="64" fillId="0" borderId="4" applyNumberFormat="0" applyFill="0" applyAlignment="0" applyProtection="0"/>
    <xf numFmtId="0" fontId="65" fillId="0" borderId="5" applyNumberFormat="0" applyFill="0" applyAlignment="0" applyProtection="0"/>
    <xf numFmtId="0" fontId="66" fillId="0" borderId="6" applyNumberFormat="0" applyFill="0" applyAlignment="0" applyProtection="0"/>
    <xf numFmtId="0" fontId="66" fillId="0" borderId="0" applyNumberFormat="0" applyFill="0" applyBorder="0" applyAlignment="0" applyProtection="0"/>
    <xf numFmtId="0" fontId="26" fillId="0" borderId="0" applyNumberFormat="0" applyFill="0" applyBorder="0" applyAlignment="0" applyProtection="0"/>
    <xf numFmtId="2" fontId="7" fillId="0" borderId="0" applyFont="0" applyFill="0" applyBorder="0" applyAlignment="0" applyProtection="0"/>
    <xf numFmtId="0" fontId="7" fillId="23" borderId="7" applyNumberFormat="0" applyFont="0" applyAlignment="0" applyProtection="0"/>
    <xf numFmtId="0" fontId="27" fillId="5" borderId="0" applyNumberFormat="0" applyBorder="0" applyAlignment="0" applyProtection="0"/>
    <xf numFmtId="38" fontId="67" fillId="2" borderId="0" applyNumberFormat="0" applyBorder="0" applyAlignment="0" applyProtection="0"/>
    <xf numFmtId="0" fontId="68" fillId="0" borderId="8" applyNumberFormat="0" applyAlignment="0" applyProtection="0">
      <alignment horizontal="left" vertical="center"/>
    </xf>
    <xf numFmtId="0" fontId="68" fillId="0" borderId="9">
      <alignment horizontal="left" vertical="center"/>
    </xf>
    <xf numFmtId="0" fontId="69" fillId="0" borderId="0" applyNumberFormat="0" applyFill="0" applyBorder="0" applyAlignment="0" applyProtection="0"/>
    <xf numFmtId="0" fontId="28" fillId="0" borderId="4" applyNumberFormat="0" applyFill="0" applyAlignment="0" applyProtection="0"/>
    <xf numFmtId="0" fontId="6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49" fontId="70" fillId="0" borderId="10">
      <alignment vertical="center"/>
    </xf>
    <xf numFmtId="10" fontId="67" fillId="24" borderId="10" applyNumberFormat="0" applyBorder="0" applyAlignment="0" applyProtection="0"/>
    <xf numFmtId="0" fontId="31" fillId="8" borderId="1" applyNumberFormat="0" applyAlignment="0" applyProtection="0"/>
    <xf numFmtId="0" fontId="71" fillId="22" borderId="2" applyNumberFormat="0" applyAlignment="0" applyProtection="0"/>
    <xf numFmtId="0" fontId="7" fillId="0" borderId="0"/>
    <xf numFmtId="0" fontId="32" fillId="0" borderId="11" applyNumberFormat="0" applyFill="0" applyAlignment="0" applyProtection="0"/>
    <xf numFmtId="181" fontId="54" fillId="0" borderId="12"/>
    <xf numFmtId="181" fontId="7" fillId="0" borderId="12"/>
    <xf numFmtId="0" fontId="72" fillId="0" borderId="0" applyNumberFormat="0" applyFont="0" applyFill="0" applyAlignment="0"/>
    <xf numFmtId="0" fontId="33" fillId="25"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20" borderId="0" applyNumberFormat="0" applyBorder="0" applyAlignment="0" applyProtection="0"/>
    <xf numFmtId="182" fontId="54" fillId="0" borderId="0"/>
    <xf numFmtId="182" fontId="7" fillId="0" borderId="0"/>
    <xf numFmtId="0" fontId="124" fillId="0" borderId="0"/>
    <xf numFmtId="0" fontId="124" fillId="0" borderId="0"/>
    <xf numFmtId="0" fontId="9" fillId="0" borderId="0"/>
    <xf numFmtId="0" fontId="13" fillId="0" borderId="0"/>
    <xf numFmtId="0" fontId="54" fillId="0" borderId="0"/>
    <xf numFmtId="0" fontId="54" fillId="0" borderId="0"/>
    <xf numFmtId="0" fontId="54" fillId="0" borderId="0"/>
    <xf numFmtId="0" fontId="54" fillId="0" borderId="0"/>
    <xf numFmtId="0" fontId="9" fillId="0" borderId="0"/>
    <xf numFmtId="0" fontId="9" fillId="0" borderId="0"/>
    <xf numFmtId="0" fontId="7" fillId="0" borderId="0"/>
    <xf numFmtId="0" fontId="7" fillId="0" borderId="0"/>
    <xf numFmtId="3" fontId="6" fillId="0" borderId="0">
      <alignment vertical="center" wrapText="1"/>
    </xf>
    <xf numFmtId="0" fontId="1" fillId="0" borderId="0"/>
    <xf numFmtId="0" fontId="1" fillId="0" borderId="0"/>
    <xf numFmtId="0" fontId="57" fillId="0" borderId="0"/>
    <xf numFmtId="0" fontId="7" fillId="0" borderId="0"/>
    <xf numFmtId="0" fontId="123" fillId="0" borderId="0"/>
    <xf numFmtId="0" fontId="7" fillId="0" borderId="0"/>
    <xf numFmtId="0" fontId="96" fillId="0" borderId="0"/>
    <xf numFmtId="0" fontId="13" fillId="0" borderId="0"/>
    <xf numFmtId="0" fontId="13" fillId="0" borderId="0"/>
    <xf numFmtId="0" fontId="13" fillId="0" borderId="0"/>
    <xf numFmtId="0" fontId="15" fillId="0" borderId="0"/>
    <xf numFmtId="0" fontId="15" fillId="0" borderId="0"/>
    <xf numFmtId="0" fontId="125" fillId="0" borderId="0"/>
    <xf numFmtId="0" fontId="15" fillId="0" borderId="0"/>
    <xf numFmtId="0" fontId="15" fillId="0" borderId="0"/>
    <xf numFmtId="0" fontId="15" fillId="0" borderId="0"/>
    <xf numFmtId="0" fontId="126" fillId="0" borderId="0"/>
    <xf numFmtId="0" fontId="1" fillId="0" borderId="0"/>
    <xf numFmtId="0" fontId="13" fillId="0" borderId="0"/>
    <xf numFmtId="0" fontId="9" fillId="0" borderId="0"/>
    <xf numFmtId="0" fontId="58" fillId="0" borderId="0"/>
    <xf numFmtId="0" fontId="123" fillId="0" borderId="0"/>
    <xf numFmtId="0" fontId="126" fillId="0" borderId="0"/>
    <xf numFmtId="0" fontId="126" fillId="0" borderId="0"/>
    <xf numFmtId="0" fontId="1" fillId="0" borderId="0"/>
    <xf numFmtId="0" fontId="127" fillId="0" borderId="0"/>
    <xf numFmtId="0" fontId="57" fillId="0" borderId="0"/>
    <xf numFmtId="0" fontId="54" fillId="0" borderId="0"/>
    <xf numFmtId="0" fontId="59" fillId="0" borderId="0"/>
    <xf numFmtId="0" fontId="7" fillId="0" borderId="0"/>
    <xf numFmtId="0" fontId="15" fillId="0" borderId="0"/>
    <xf numFmtId="0" fontId="46" fillId="0" borderId="0"/>
    <xf numFmtId="0" fontId="124" fillId="0" borderId="0"/>
    <xf numFmtId="0" fontId="124" fillId="0" borderId="0"/>
    <xf numFmtId="0" fontId="124" fillId="0" borderId="0"/>
    <xf numFmtId="0" fontId="1" fillId="0" borderId="0"/>
    <xf numFmtId="0" fontId="57" fillId="0" borderId="0"/>
    <xf numFmtId="0" fontId="1" fillId="23" borderId="7" applyNumberFormat="0" applyFont="0" applyAlignment="0" applyProtection="0"/>
    <xf numFmtId="0" fontId="73" fillId="0" borderId="11" applyNumberFormat="0" applyFill="0" applyAlignment="0" applyProtection="0"/>
    <xf numFmtId="0" fontId="34" fillId="21" borderId="3" applyNumberFormat="0" applyAlignment="0" applyProtection="0"/>
    <xf numFmtId="10" fontId="54" fillId="0" borderId="0" applyFont="0" applyFill="0" applyBorder="0" applyAlignment="0" applyProtection="0"/>
    <xf numFmtId="10" fontId="7"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0" fillId="0" borderId="0" applyFont="0" applyFill="0" applyBorder="0" applyAlignment="0" applyProtection="0"/>
    <xf numFmtId="0" fontId="35" fillId="0" borderId="0" applyNumberFormat="0" applyFill="0" applyBorder="0" applyAlignment="0" applyProtection="0"/>
    <xf numFmtId="0" fontId="74" fillId="21" borderId="1" applyNumberFormat="0" applyAlignment="0" applyProtection="0"/>
    <xf numFmtId="0" fontId="35" fillId="0" borderId="0" applyNumberFormat="0" applyFill="0" applyBorder="0" applyAlignment="0" applyProtection="0"/>
    <xf numFmtId="0" fontId="75" fillId="0" borderId="13" applyNumberFormat="0" applyFill="0" applyAlignment="0" applyProtection="0"/>
    <xf numFmtId="0" fontId="76" fillId="5" borderId="0" applyNumberFormat="0" applyBorder="0" applyAlignment="0" applyProtection="0"/>
    <xf numFmtId="0" fontId="7" fillId="0" borderId="14" applyNumberFormat="0" applyFont="0" applyFill="0" applyAlignment="0" applyProtection="0"/>
    <xf numFmtId="0" fontId="36" fillId="0" borderId="13" applyNumberFormat="0" applyFill="0" applyAlignment="0" applyProtection="0"/>
    <xf numFmtId="0" fontId="77" fillId="25" borderId="0" applyNumberForma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37" fillId="0" borderId="0" applyNumberFormat="0" applyFill="0" applyBorder="0" applyAlignment="0" applyProtection="0"/>
    <xf numFmtId="0" fontId="80" fillId="4" borderId="0" applyNumberFormat="0" applyBorder="0" applyAlignment="0" applyProtection="0"/>
    <xf numFmtId="0" fontId="81" fillId="0" borderId="0" applyNumberFormat="0" applyFill="0" applyBorder="0" applyAlignment="0" applyProtection="0"/>
    <xf numFmtId="0" fontId="82" fillId="0" borderId="0" applyFont="0" applyFill="0" applyBorder="0" applyAlignment="0" applyProtection="0"/>
    <xf numFmtId="0" fontId="82" fillId="0" borderId="0" applyFont="0" applyFill="0" applyBorder="0" applyAlignment="0" applyProtection="0"/>
    <xf numFmtId="0" fontId="9" fillId="0" borderId="0">
      <alignment vertical="center"/>
    </xf>
    <xf numFmtId="40" fontId="83" fillId="0" borderId="0" applyFont="0" applyFill="0" applyBorder="0" applyAlignment="0" applyProtection="0"/>
    <xf numFmtId="38"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9" fontId="84" fillId="0" borderId="0" applyFont="0" applyFill="0" applyBorder="0" applyAlignment="0" applyProtection="0"/>
    <xf numFmtId="0" fontId="85" fillId="0" borderId="0"/>
    <xf numFmtId="183" fontId="86" fillId="0" borderId="0" applyFont="0" applyFill="0" applyBorder="0" applyAlignment="0" applyProtection="0"/>
    <xf numFmtId="184" fontId="86" fillId="0" borderId="0" applyFont="0" applyFill="0" applyBorder="0" applyAlignment="0" applyProtection="0"/>
    <xf numFmtId="185" fontId="86" fillId="0" borderId="0" applyFont="0" applyFill="0" applyBorder="0" applyAlignment="0" applyProtection="0"/>
    <xf numFmtId="172" fontId="86" fillId="0" borderId="0" applyFont="0" applyFill="0" applyBorder="0" applyAlignment="0" applyProtection="0"/>
    <xf numFmtId="0" fontId="87" fillId="0" borderId="0"/>
    <xf numFmtId="0" fontId="72" fillId="0" borderId="0"/>
    <xf numFmtId="174" fontId="88" fillId="0" borderId="0" applyFont="0" applyFill="0" applyBorder="0" applyAlignment="0" applyProtection="0"/>
    <xf numFmtId="186" fontId="88" fillId="0" borderId="0" applyFont="0" applyFill="0" applyBorder="0" applyAlignment="0" applyProtection="0"/>
    <xf numFmtId="187" fontId="88" fillId="0" borderId="0" applyFont="0" applyFill="0" applyBorder="0" applyAlignment="0" applyProtection="0"/>
    <xf numFmtId="6" fontId="42" fillId="0" borderId="0" applyFont="0" applyFill="0" applyBorder="0" applyAlignment="0" applyProtection="0"/>
    <xf numFmtId="188" fontId="88" fillId="0" borderId="0" applyFont="0" applyFill="0" applyBorder="0" applyAlignment="0" applyProtection="0"/>
  </cellStyleXfs>
  <cellXfs count="454">
    <xf numFmtId="0" fontId="0" fillId="0" borderId="0" xfId="0"/>
    <xf numFmtId="0" fontId="9" fillId="0" borderId="0" xfId="0" applyFont="1"/>
    <xf numFmtId="3" fontId="0" fillId="0" borderId="0" xfId="0" applyNumberFormat="1"/>
    <xf numFmtId="166" fontId="0" fillId="0" borderId="0" xfId="0" applyNumberFormat="1"/>
    <xf numFmtId="0" fontId="0" fillId="0" borderId="10" xfId="0" applyBorder="1"/>
    <xf numFmtId="0" fontId="19" fillId="0" borderId="0" xfId="184" applyFont="1"/>
    <xf numFmtId="0" fontId="20" fillId="0" borderId="0" xfId="184" applyFont="1"/>
    <xf numFmtId="0" fontId="14" fillId="0" borderId="10" xfId="184" applyFont="1" applyFill="1" applyBorder="1" applyAlignment="1">
      <alignment horizontal="center" vertical="center" wrapText="1"/>
    </xf>
    <xf numFmtId="3" fontId="15" fillId="0" borderId="15" xfId="184" applyNumberFormat="1" applyFont="1" applyFill="1" applyBorder="1"/>
    <xf numFmtId="3" fontId="14" fillId="0" borderId="16" xfId="0" applyNumberFormat="1" applyFont="1" applyFill="1" applyBorder="1" applyAlignment="1">
      <alignment horizontal="center" vertical="center" wrapText="1"/>
    </xf>
    <xf numFmtId="0" fontId="90" fillId="0" borderId="0" xfId="0" applyFont="1"/>
    <xf numFmtId="3" fontId="14" fillId="0" borderId="17" xfId="184" applyNumberFormat="1" applyFont="1" applyFill="1" applyBorder="1"/>
    <xf numFmtId="3" fontId="15" fillId="0" borderId="18" xfId="184" applyNumberFormat="1" applyFont="1" applyFill="1" applyBorder="1"/>
    <xf numFmtId="0" fontId="91" fillId="0" borderId="0" xfId="0" applyFont="1" applyBorder="1" applyAlignment="1">
      <alignment horizontal="center"/>
    </xf>
    <xf numFmtId="0" fontId="91" fillId="0" borderId="0" xfId="0" applyFont="1" applyAlignment="1"/>
    <xf numFmtId="0" fontId="90" fillId="0" borderId="19" xfId="0" applyFont="1" applyBorder="1" applyAlignment="1">
      <alignment vertical="center" wrapText="1"/>
    </xf>
    <xf numFmtId="0" fontId="0" fillId="0" borderId="0" xfId="0" applyBorder="1"/>
    <xf numFmtId="166" fontId="90" fillId="0" borderId="0" xfId="0" applyNumberFormat="1" applyFont="1"/>
    <xf numFmtId="0" fontId="15" fillId="0" borderId="0" xfId="0" applyFont="1" applyBorder="1"/>
    <xf numFmtId="43" fontId="93" fillId="0" borderId="0" xfId="115" applyFont="1" applyBorder="1"/>
    <xf numFmtId="43" fontId="0" fillId="0" borderId="0" xfId="0" applyNumberFormat="1" applyBorder="1"/>
    <xf numFmtId="0" fontId="15" fillId="0" borderId="15" xfId="184" applyFont="1" applyFill="1" applyBorder="1" applyAlignment="1">
      <alignment horizontal="center" vertical="center"/>
    </xf>
    <xf numFmtId="0" fontId="14" fillId="0" borderId="17" xfId="184" applyFont="1" applyFill="1" applyBorder="1" applyAlignment="1">
      <alignment horizontal="center" vertical="center"/>
    </xf>
    <xf numFmtId="0" fontId="15" fillId="0" borderId="18" xfId="184" applyFont="1" applyFill="1" applyBorder="1" applyAlignment="1">
      <alignment horizontal="center" vertical="center"/>
    </xf>
    <xf numFmtId="0" fontId="0" fillId="0" borderId="0" xfId="0" applyAlignment="1">
      <alignment horizontal="center" vertical="center"/>
    </xf>
    <xf numFmtId="0" fontId="19" fillId="0" borderId="0" xfId="184" applyFont="1" applyFill="1"/>
    <xf numFmtId="0" fontId="10" fillId="0" borderId="10" xfId="184" applyFont="1" applyFill="1" applyBorder="1" applyAlignment="1">
      <alignment horizontal="center" vertical="center" wrapText="1"/>
    </xf>
    <xf numFmtId="0" fontId="14" fillId="0" borderId="17" xfId="184" applyFont="1" applyFill="1" applyBorder="1" applyAlignment="1">
      <alignment vertical="center" wrapText="1"/>
    </xf>
    <xf numFmtId="0" fontId="15" fillId="0" borderId="15" xfId="184" applyFont="1" applyFill="1" applyBorder="1" applyAlignment="1">
      <alignment vertical="center" wrapText="1"/>
    </xf>
    <xf numFmtId="0" fontId="15" fillId="0" borderId="18" xfId="184" applyFont="1" applyFill="1" applyBorder="1" applyAlignment="1">
      <alignment vertical="center" wrapText="1"/>
    </xf>
    <xf numFmtId="3" fontId="107" fillId="0" borderId="0" xfId="0" applyNumberFormat="1" applyFont="1" applyAlignment="1">
      <alignment vertical="center" wrapText="1"/>
    </xf>
    <xf numFmtId="0" fontId="16" fillId="0" borderId="20" xfId="0" applyFont="1" applyBorder="1" applyAlignment="1">
      <alignment horizontal="center" vertical="center"/>
    </xf>
    <xf numFmtId="0" fontId="15" fillId="0" borderId="20" xfId="0" applyFont="1" applyFill="1" applyBorder="1" applyAlignment="1">
      <alignment vertical="center"/>
    </xf>
    <xf numFmtId="166" fontId="15" fillId="0" borderId="20" xfId="115" applyNumberFormat="1" applyFont="1" applyFill="1" applyBorder="1"/>
    <xf numFmtId="0" fontId="90" fillId="0" borderId="18" xfId="0" applyFont="1" applyBorder="1"/>
    <xf numFmtId="0" fontId="14" fillId="0" borderId="15" xfId="184" applyFont="1" applyFill="1" applyBorder="1" applyAlignment="1">
      <alignment horizontal="center" vertical="center"/>
    </xf>
    <xf numFmtId="0" fontId="14" fillId="0" borderId="15" xfId="0" applyFont="1" applyFill="1" applyBorder="1" applyAlignment="1">
      <alignment vertical="center" wrapText="1"/>
    </xf>
    <xf numFmtId="0" fontId="91" fillId="0" borderId="15" xfId="0" applyFont="1" applyBorder="1" applyAlignment="1">
      <alignment horizontal="center" vertical="center"/>
    </xf>
    <xf numFmtId="0" fontId="15" fillId="0" borderId="15" xfId="0" applyFont="1" applyFill="1" applyBorder="1" applyAlignment="1">
      <alignment vertical="center" wrapText="1"/>
    </xf>
    <xf numFmtId="0" fontId="15" fillId="0" borderId="15" xfId="0" applyFont="1" applyBorder="1" applyAlignment="1">
      <alignment vertical="center" wrapText="1"/>
    </xf>
    <xf numFmtId="0" fontId="15" fillId="0" borderId="15" xfId="0" applyFont="1" applyBorder="1" applyAlignment="1">
      <alignment vertical="center"/>
    </xf>
    <xf numFmtId="0" fontId="14" fillId="0" borderId="15" xfId="0" applyFont="1" applyBorder="1" applyAlignment="1">
      <alignment horizontal="center" vertical="center"/>
    </xf>
    <xf numFmtId="3" fontId="15" fillId="0" borderId="15" xfId="0" applyNumberFormat="1" applyFont="1" applyBorder="1"/>
    <xf numFmtId="0" fontId="14" fillId="0" borderId="15" xfId="0" applyFont="1" applyBorder="1" applyAlignment="1">
      <alignment vertical="center"/>
    </xf>
    <xf numFmtId="166" fontId="14" fillId="0" borderId="15" xfId="0" applyNumberFormat="1" applyFont="1" applyBorder="1"/>
    <xf numFmtId="0" fontId="15" fillId="0" borderId="15" xfId="0" applyFont="1" applyBorder="1" applyAlignment="1">
      <alignment horizontal="center" vertical="center"/>
    </xf>
    <xf numFmtId="0" fontId="15" fillId="0" borderId="15" xfId="0" quotePrefix="1" applyFont="1" applyBorder="1" applyAlignment="1">
      <alignment vertical="center" wrapText="1"/>
    </xf>
    <xf numFmtId="166" fontId="15" fillId="0" borderId="15" xfId="0" applyNumberFormat="1" applyFont="1" applyBorder="1"/>
    <xf numFmtId="166" fontId="15" fillId="0" borderId="15" xfId="115" applyNumberFormat="1" applyFont="1" applyBorder="1"/>
    <xf numFmtId="166" fontId="15" fillId="0" borderId="15" xfId="115" applyNumberFormat="1" applyFont="1" applyBorder="1" applyAlignment="1">
      <alignment wrapText="1"/>
    </xf>
    <xf numFmtId="166" fontId="15" fillId="0" borderId="15" xfId="100" applyNumberFormat="1" applyFont="1" applyBorder="1"/>
    <xf numFmtId="0" fontId="14" fillId="0" borderId="15" xfId="0" applyFont="1" applyBorder="1"/>
    <xf numFmtId="166" fontId="15" fillId="0" borderId="15" xfId="0" applyNumberFormat="1" applyFont="1" applyBorder="1" applyAlignment="1">
      <alignment vertical="center"/>
    </xf>
    <xf numFmtId="0" fontId="15" fillId="0" borderId="15" xfId="0" quotePrefix="1" applyFont="1" applyBorder="1" applyAlignment="1">
      <alignment vertical="center"/>
    </xf>
    <xf numFmtId="0" fontId="16" fillId="0" borderId="15" xfId="0" applyFont="1" applyBorder="1" applyAlignment="1">
      <alignment horizontal="center" vertical="center"/>
    </xf>
    <xf numFmtId="0" fontId="15" fillId="0" borderId="15" xfId="0" applyFont="1" applyFill="1" applyBorder="1" applyAlignment="1">
      <alignment horizontal="left" vertical="center"/>
    </xf>
    <xf numFmtId="166" fontId="15" fillId="0" borderId="15" xfId="115" applyNumberFormat="1" applyFont="1" applyFill="1" applyBorder="1"/>
    <xf numFmtId="0" fontId="15" fillId="0" borderId="15" xfId="0" applyFont="1" applyFill="1" applyBorder="1" applyAlignment="1">
      <alignment horizontal="center" vertical="center"/>
    </xf>
    <xf numFmtId="0" fontId="15" fillId="0" borderId="15" xfId="0" applyFont="1" applyFill="1" applyBorder="1" applyAlignment="1">
      <alignment vertical="center"/>
    </xf>
    <xf numFmtId="3" fontId="14" fillId="0" borderId="15" xfId="184" applyNumberFormat="1" applyFont="1" applyFill="1" applyBorder="1"/>
    <xf numFmtId="3" fontId="19" fillId="0" borderId="15" xfId="184" applyNumberFormat="1" applyFont="1" applyFill="1" applyBorder="1" applyAlignment="1">
      <alignment horizontal="right" vertical="center" wrapText="1"/>
    </xf>
    <xf numFmtId="0" fontId="108" fillId="0" borderId="0" xfId="0" applyFont="1" applyAlignment="1">
      <alignment vertical="center"/>
    </xf>
    <xf numFmtId="0" fontId="109" fillId="0" borderId="0" xfId="0" applyFont="1" applyAlignment="1">
      <alignment vertical="center"/>
    </xf>
    <xf numFmtId="0" fontId="110" fillId="0" borderId="0" xfId="0" applyFont="1" applyAlignment="1">
      <alignment vertical="center"/>
    </xf>
    <xf numFmtId="0" fontId="111" fillId="0" borderId="0" xfId="0" applyFont="1" applyAlignment="1">
      <alignment vertical="center"/>
    </xf>
    <xf numFmtId="0" fontId="8" fillId="0" borderId="0" xfId="200" applyFont="1"/>
    <xf numFmtId="0" fontId="15" fillId="0" borderId="0" xfId="200" applyFont="1"/>
    <xf numFmtId="0" fontId="20" fillId="0" borderId="0" xfId="200" applyFont="1" applyBorder="1" applyAlignment="1">
      <alignment horizontal="center" vertical="center" wrapText="1"/>
    </xf>
    <xf numFmtId="0" fontId="19" fillId="0" borderId="0" xfId="200" applyFont="1"/>
    <xf numFmtId="0" fontId="20" fillId="0" borderId="10" xfId="200" applyFont="1" applyBorder="1" applyAlignment="1">
      <alignment horizontal="center" vertical="center"/>
    </xf>
    <xf numFmtId="0" fontId="20" fillId="0" borderId="10" xfId="200" applyFont="1" applyBorder="1" applyAlignment="1">
      <alignment horizontal="center" vertical="center" wrapText="1"/>
    </xf>
    <xf numFmtId="3" fontId="20" fillId="0" borderId="10" xfId="200" applyNumberFormat="1" applyFont="1" applyBorder="1" applyAlignment="1">
      <alignment horizontal="right" vertical="center" wrapText="1"/>
    </xf>
    <xf numFmtId="0" fontId="19" fillId="0" borderId="10" xfId="200" applyFont="1" applyBorder="1"/>
    <xf numFmtId="0" fontId="19" fillId="0" borderId="12" xfId="200" applyFont="1" applyBorder="1" applyAlignment="1">
      <alignment horizontal="center" vertical="center"/>
    </xf>
    <xf numFmtId="0" fontId="19" fillId="0" borderId="12" xfId="200" applyFont="1" applyBorder="1" applyAlignment="1">
      <alignment horizontal="left" vertical="center" wrapText="1"/>
    </xf>
    <xf numFmtId="3" fontId="19" fillId="0" borderId="12" xfId="200" applyNumberFormat="1" applyFont="1" applyBorder="1" applyAlignment="1">
      <alignment horizontal="right" vertical="center" wrapText="1"/>
    </xf>
    <xf numFmtId="0" fontId="19" fillId="0" borderId="12" xfId="200" applyFont="1" applyBorder="1"/>
    <xf numFmtId="0" fontId="19" fillId="0" borderId="15" xfId="200" applyFont="1" applyBorder="1" applyAlignment="1">
      <alignment horizontal="center" vertical="center"/>
    </xf>
    <xf numFmtId="0" fontId="19" fillId="0" borderId="15" xfId="200" applyFont="1" applyBorder="1" applyAlignment="1">
      <alignment horizontal="left" vertical="center" wrapText="1"/>
    </xf>
    <xf numFmtId="3" fontId="19" fillId="0" borderId="15" xfId="200" applyNumberFormat="1" applyFont="1" applyBorder="1" applyAlignment="1">
      <alignment horizontal="right" vertical="center" wrapText="1"/>
    </xf>
    <xf numFmtId="0" fontId="19" fillId="0" borderId="15" xfId="200" applyFont="1" applyBorder="1"/>
    <xf numFmtId="0" fontId="19" fillId="0" borderId="21" xfId="200" applyFont="1" applyBorder="1" applyAlignment="1">
      <alignment horizontal="center" vertical="center"/>
    </xf>
    <xf numFmtId="0" fontId="19" fillId="0" borderId="21" xfId="200" applyFont="1" applyBorder="1" applyAlignment="1">
      <alignment horizontal="left" vertical="center" wrapText="1"/>
    </xf>
    <xf numFmtId="3" fontId="19" fillId="0" borderId="21" xfId="200" applyNumberFormat="1" applyFont="1" applyBorder="1" applyAlignment="1">
      <alignment horizontal="right" vertical="center" wrapText="1"/>
    </xf>
    <xf numFmtId="0" fontId="19" fillId="0" borderId="21" xfId="200" applyFont="1" applyBorder="1"/>
    <xf numFmtId="0" fontId="20" fillId="0" borderId="10" xfId="200" applyFont="1" applyBorder="1" applyAlignment="1">
      <alignment horizontal="left" vertical="center" wrapText="1"/>
    </xf>
    <xf numFmtId="0" fontId="20" fillId="0" borderId="10" xfId="200" applyFont="1" applyBorder="1"/>
    <xf numFmtId="0" fontId="20" fillId="0" borderId="0" xfId="200" applyFont="1"/>
    <xf numFmtId="3" fontId="20" fillId="0" borderId="20" xfId="200" applyNumberFormat="1" applyFont="1" applyBorder="1" applyAlignment="1">
      <alignment horizontal="right" vertical="center" wrapText="1"/>
    </xf>
    <xf numFmtId="3" fontId="20" fillId="0" borderId="10" xfId="200" applyNumberFormat="1" applyFont="1" applyBorder="1" applyAlignment="1">
      <alignment horizontal="right" vertical="center"/>
    </xf>
    <xf numFmtId="166" fontId="20" fillId="0" borderId="10" xfId="184" applyNumberFormat="1" applyFont="1" applyFill="1" applyBorder="1" applyAlignment="1">
      <alignment vertical="center"/>
    </xf>
    <xf numFmtId="0" fontId="6" fillId="0" borderId="10" xfId="200" applyFont="1" applyBorder="1" applyAlignment="1">
      <alignment vertical="center" wrapText="1"/>
    </xf>
    <xf numFmtId="3" fontId="19" fillId="0" borderId="22" xfId="200" applyNumberFormat="1" applyFont="1" applyBorder="1" applyAlignment="1">
      <alignment horizontal="right" vertical="center"/>
    </xf>
    <xf numFmtId="3" fontId="19" fillId="0" borderId="17" xfId="184" applyNumberFormat="1" applyFont="1" applyFill="1" applyBorder="1" applyAlignment="1">
      <alignment horizontal="right" vertical="center" wrapText="1"/>
    </xf>
    <xf numFmtId="3" fontId="19" fillId="0" borderId="15" xfId="200" applyNumberFormat="1" applyFont="1" applyBorder="1" applyAlignment="1">
      <alignment horizontal="right" vertical="center"/>
    </xf>
    <xf numFmtId="0" fontId="19" fillId="0" borderId="23" xfId="200" applyFont="1" applyBorder="1"/>
    <xf numFmtId="3" fontId="19" fillId="0" borderId="18" xfId="200" applyNumberFormat="1" applyFont="1" applyBorder="1" applyAlignment="1">
      <alignment horizontal="right" vertical="center"/>
    </xf>
    <xf numFmtId="0" fontId="20" fillId="0" borderId="10" xfId="200" applyFont="1" applyBorder="1" applyAlignment="1">
      <alignment horizontal="justify" vertical="center" wrapText="1"/>
    </xf>
    <xf numFmtId="0" fontId="19" fillId="0" borderId="12" xfId="200" applyFont="1" applyBorder="1" applyAlignment="1">
      <alignment vertical="center" wrapText="1"/>
    </xf>
    <xf numFmtId="0" fontId="19" fillId="0" borderId="15" xfId="200" applyFont="1" applyBorder="1" applyAlignment="1">
      <alignment vertical="center" wrapText="1"/>
    </xf>
    <xf numFmtId="0" fontId="19" fillId="0" borderId="21" xfId="200" applyFont="1" applyBorder="1" applyAlignment="1">
      <alignment vertical="center" wrapText="1"/>
    </xf>
    <xf numFmtId="0" fontId="20" fillId="0" borderId="10" xfId="200" applyFont="1" applyBorder="1" applyAlignment="1">
      <alignment vertical="center" wrapText="1"/>
    </xf>
    <xf numFmtId="0" fontId="19" fillId="0" borderId="17" xfId="200" applyFont="1" applyBorder="1" applyAlignment="1">
      <alignment vertical="center" wrapText="1"/>
    </xf>
    <xf numFmtId="3" fontId="19" fillId="0" borderId="17" xfId="200" applyNumberFormat="1" applyFont="1" applyBorder="1" applyAlignment="1">
      <alignment horizontal="right" vertical="center"/>
    </xf>
    <xf numFmtId="3" fontId="19" fillId="0" borderId="21" xfId="200" applyNumberFormat="1" applyFont="1" applyBorder="1" applyAlignment="1">
      <alignment horizontal="right" vertical="center"/>
    </xf>
    <xf numFmtId="0" fontId="19" fillId="0" borderId="12" xfId="200" applyFont="1" applyBorder="1" applyAlignment="1">
      <alignment horizontal="justify" vertical="center" wrapText="1"/>
    </xf>
    <xf numFmtId="3" fontId="19" fillId="0" borderId="12" xfId="200" applyNumberFormat="1" applyFont="1" applyBorder="1" applyAlignment="1">
      <alignment horizontal="right" vertical="center"/>
    </xf>
    <xf numFmtId="0" fontId="19" fillId="0" borderId="15" xfId="200" applyFont="1" applyBorder="1" applyAlignment="1">
      <alignment horizontal="justify" vertical="center" wrapText="1"/>
    </xf>
    <xf numFmtId="0" fontId="19" fillId="0" borderId="18" xfId="200" applyFont="1" applyBorder="1" applyAlignment="1">
      <alignment horizontal="center" vertical="center"/>
    </xf>
    <xf numFmtId="3" fontId="19" fillId="0" borderId="18" xfId="200" applyNumberFormat="1" applyFont="1" applyBorder="1" applyAlignment="1">
      <alignment horizontal="right" vertical="center" wrapText="1"/>
    </xf>
    <xf numFmtId="0" fontId="19" fillId="0" borderId="18" xfId="200" applyFont="1" applyBorder="1"/>
    <xf numFmtId="0" fontId="19" fillId="0" borderId="21" xfId="200" applyFont="1" applyBorder="1" applyAlignment="1">
      <alignment horizontal="justify" vertical="center" wrapText="1"/>
    </xf>
    <xf numFmtId="0" fontId="17" fillId="0" borderId="0" xfId="200" applyFont="1"/>
    <xf numFmtId="0" fontId="14" fillId="0" borderId="0" xfId="200" applyFont="1" applyAlignment="1">
      <alignment horizontal="center"/>
    </xf>
    <xf numFmtId="3" fontId="15" fillId="0" borderId="0" xfId="200" applyNumberFormat="1" applyFont="1"/>
    <xf numFmtId="0" fontId="112" fillId="0" borderId="24" xfId="200" applyFont="1" applyBorder="1" applyAlignment="1">
      <alignment vertical="center" wrapText="1"/>
    </xf>
    <xf numFmtId="0" fontId="20" fillId="0" borderId="20" xfId="200" applyFont="1" applyBorder="1" applyAlignment="1">
      <alignment vertical="center" wrapText="1"/>
    </xf>
    <xf numFmtId="0" fontId="19" fillId="0" borderId="22" xfId="200" applyFont="1" applyBorder="1" applyAlignment="1">
      <alignment horizontal="center" vertical="center"/>
    </xf>
    <xf numFmtId="0" fontId="19" fillId="0" borderId="22" xfId="200" applyFont="1" applyBorder="1" applyAlignment="1">
      <alignment vertical="center" wrapText="1"/>
    </xf>
    <xf numFmtId="0" fontId="19" fillId="0" borderId="18" xfId="200" applyFont="1" applyBorder="1" applyAlignment="1">
      <alignment vertical="center" wrapText="1"/>
    </xf>
    <xf numFmtId="0" fontId="19" fillId="0" borderId="17" xfId="200" applyFont="1" applyBorder="1" applyAlignment="1">
      <alignment horizontal="center" vertical="center"/>
    </xf>
    <xf numFmtId="0" fontId="19" fillId="0" borderId="10" xfId="200" applyFont="1" applyBorder="1" applyAlignment="1">
      <alignment vertical="center"/>
    </xf>
    <xf numFmtId="166" fontId="113" fillId="0" borderId="10" xfId="124" applyNumberFormat="1" applyFont="1" applyBorder="1" applyAlignment="1">
      <alignment horizontal="right" vertical="center"/>
    </xf>
    <xf numFmtId="0" fontId="19" fillId="0" borderId="0" xfId="200" applyFont="1" applyAlignment="1">
      <alignment vertical="center"/>
    </xf>
    <xf numFmtId="0" fontId="20" fillId="0" borderId="0" xfId="184" applyFont="1" applyFill="1"/>
    <xf numFmtId="0" fontId="114" fillId="0" borderId="0" xfId="0" applyFont="1" applyAlignment="1">
      <alignment vertical="center"/>
    </xf>
    <xf numFmtId="0" fontId="115" fillId="0" borderId="0" xfId="0" applyFont="1" applyAlignment="1">
      <alignment vertical="center"/>
    </xf>
    <xf numFmtId="0" fontId="116" fillId="0" borderId="0" xfId="0" applyFont="1"/>
    <xf numFmtId="0" fontId="97" fillId="0" borderId="0" xfId="0" applyFont="1" applyAlignment="1">
      <alignment horizontal="center"/>
    </xf>
    <xf numFmtId="3" fontId="20" fillId="0" borderId="20" xfId="200" applyNumberFormat="1" applyFont="1" applyBorder="1" applyAlignment="1">
      <alignment vertical="center"/>
    </xf>
    <xf numFmtId="3" fontId="19" fillId="0" borderId="12" xfId="200" applyNumberFormat="1" applyFont="1" applyBorder="1" applyAlignment="1">
      <alignment vertical="center"/>
    </xf>
    <xf numFmtId="3" fontId="19" fillId="0" borderId="21" xfId="200" applyNumberFormat="1" applyFont="1" applyBorder="1" applyAlignment="1">
      <alignment vertical="center"/>
    </xf>
    <xf numFmtId="3" fontId="19" fillId="0" borderId="15" xfId="200" applyNumberFormat="1" applyFont="1" applyBorder="1" applyAlignment="1">
      <alignment vertical="center"/>
    </xf>
    <xf numFmtId="0" fontId="19" fillId="0" borderId="18" xfId="200" applyFont="1" applyBorder="1" applyAlignment="1">
      <alignment horizontal="left" vertical="center" wrapText="1"/>
    </xf>
    <xf numFmtId="0" fontId="4"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xf numFmtId="0" fontId="4"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left" vertical="center" wrapText="1"/>
    </xf>
    <xf numFmtId="0" fontId="4" fillId="0" borderId="10" xfId="0" applyFont="1" applyBorder="1" applyAlignment="1">
      <alignment vertical="center" wrapText="1"/>
    </xf>
    <xf numFmtId="166" fontId="10" fillId="0" borderId="10" xfId="0" applyNumberFormat="1" applyFont="1" applyBorder="1" applyAlignment="1">
      <alignment horizontal="center" vertical="center" wrapText="1"/>
    </xf>
    <xf numFmtId="0" fontId="4" fillId="0" borderId="0" xfId="0" applyFont="1"/>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166" fontId="3" fillId="0" borderId="10" xfId="115" applyNumberFormat="1" applyFont="1" applyBorder="1" applyAlignment="1">
      <alignment vertical="center" wrapText="1"/>
    </xf>
    <xf numFmtId="166" fontId="3" fillId="0" borderId="10" xfId="115" applyNumberFormat="1" applyFont="1" applyBorder="1" applyAlignment="1">
      <alignment horizontal="center" vertical="center" wrapText="1"/>
    </xf>
    <xf numFmtId="0" fontId="3" fillId="0" borderId="10" xfId="115" applyNumberFormat="1" applyFont="1" applyBorder="1" applyAlignment="1">
      <alignment horizontal="center" vertical="center" wrapText="1"/>
    </xf>
    <xf numFmtId="166" fontId="9" fillId="0" borderId="10" xfId="115" applyNumberFormat="1" applyFont="1" applyBorder="1" applyAlignment="1">
      <alignment horizontal="center" vertical="center" wrapText="1"/>
    </xf>
    <xf numFmtId="166"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10" xfId="0" applyFont="1" applyBorder="1" applyAlignment="1">
      <alignment horizontal="center" vertical="center" wrapText="1"/>
    </xf>
    <xf numFmtId="166" fontId="3" fillId="0" borderId="0" xfId="115" applyNumberFormat="1" applyFont="1" applyAlignment="1">
      <alignment horizontal="center" vertical="center" wrapText="1"/>
    </xf>
    <xf numFmtId="166" fontId="4" fillId="0" borderId="10" xfId="115" applyNumberFormat="1" applyFont="1" applyBorder="1" applyAlignment="1">
      <alignment vertical="center" wrapText="1"/>
    </xf>
    <xf numFmtId="166" fontId="4" fillId="0" borderId="10" xfId="115" applyNumberFormat="1" applyFont="1" applyBorder="1" applyAlignment="1">
      <alignment horizontal="center" vertical="center" wrapText="1"/>
    </xf>
    <xf numFmtId="166" fontId="10" fillId="0" borderId="10" xfId="115" applyNumberFormat="1" applyFont="1" applyBorder="1" applyAlignment="1">
      <alignment horizontal="center" vertical="center" wrapText="1"/>
    </xf>
    <xf numFmtId="166" fontId="4" fillId="0" borderId="0" xfId="0" applyNumberFormat="1" applyFont="1" applyAlignment="1">
      <alignment horizontal="center" vertical="center" wrapText="1"/>
    </xf>
    <xf numFmtId="43" fontId="3" fillId="0" borderId="0" xfId="0" applyNumberFormat="1" applyFont="1" applyAlignment="1">
      <alignment horizontal="center" vertical="center" wrapText="1"/>
    </xf>
    <xf numFmtId="0" fontId="3" fillId="0" borderId="0" xfId="0" applyFont="1" applyAlignment="1">
      <alignment horizontal="left" vertical="center" wrapText="1"/>
    </xf>
    <xf numFmtId="166" fontId="3" fillId="0" borderId="0" xfId="115" applyNumberFormat="1" applyFont="1" applyAlignment="1">
      <alignment vertical="center" wrapText="1"/>
    </xf>
    <xf numFmtId="166" fontId="9" fillId="0" borderId="0" xfId="115" applyNumberFormat="1" applyFont="1" applyAlignment="1">
      <alignment horizontal="center" vertical="center" wrapText="1"/>
    </xf>
    <xf numFmtId="0" fontId="3" fillId="0" borderId="0" xfId="0" applyFont="1" applyAlignment="1">
      <alignment vertical="center" wrapText="1"/>
    </xf>
    <xf numFmtId="0" fontId="9" fillId="0" borderId="0" xfId="0" applyFont="1" applyAlignment="1">
      <alignment horizontal="center" vertical="center" wrapText="1"/>
    </xf>
    <xf numFmtId="0" fontId="106" fillId="0" borderId="0" xfId="0" applyFont="1"/>
    <xf numFmtId="3" fontId="101" fillId="0" borderId="10" xfId="0" applyNumberFormat="1" applyFont="1" applyBorder="1" applyAlignment="1">
      <alignment horizontal="center" vertical="center" wrapText="1"/>
    </xf>
    <xf numFmtId="3" fontId="100" fillId="0" borderId="10" xfId="0" applyNumberFormat="1" applyFont="1" applyFill="1" applyBorder="1" applyAlignment="1">
      <alignment horizontal="center" vertical="center" wrapText="1"/>
    </xf>
    <xf numFmtId="3" fontId="100" fillId="0" borderId="10" xfId="0" applyNumberFormat="1" applyFont="1" applyFill="1" applyBorder="1" applyAlignment="1">
      <alignment vertical="center" wrapText="1"/>
    </xf>
    <xf numFmtId="3" fontId="101" fillId="0" borderId="10" xfId="0" applyNumberFormat="1" applyFont="1" applyBorder="1" applyAlignment="1">
      <alignment vertical="center" wrapText="1"/>
    </xf>
    <xf numFmtId="3" fontId="102" fillId="0" borderId="10" xfId="0" applyNumberFormat="1" applyFont="1" applyFill="1" applyBorder="1" applyAlignment="1">
      <alignment horizontal="center" vertical="center" wrapText="1"/>
    </xf>
    <xf numFmtId="3" fontId="102" fillId="0" borderId="10" xfId="0" applyNumberFormat="1" applyFont="1" applyFill="1" applyBorder="1" applyAlignment="1">
      <alignment vertical="center" wrapText="1"/>
    </xf>
    <xf numFmtId="3" fontId="103" fillId="0" borderId="10" xfId="0" applyNumberFormat="1" applyFont="1" applyBorder="1" applyAlignment="1">
      <alignment vertical="center" wrapText="1"/>
    </xf>
    <xf numFmtId="3" fontId="102" fillId="0" borderId="10" xfId="0" applyNumberFormat="1" applyFont="1" applyBorder="1" applyAlignment="1">
      <alignment vertical="center" wrapText="1"/>
    </xf>
    <xf numFmtId="3" fontId="14" fillId="0" borderId="0" xfId="0" applyNumberFormat="1" applyFont="1" applyFill="1" applyBorder="1" applyAlignment="1">
      <alignment horizontal="center" vertical="center" wrapText="1"/>
    </xf>
    <xf numFmtId="3" fontId="12" fillId="0" borderId="0" xfId="0" applyNumberFormat="1" applyFont="1" applyFill="1" applyBorder="1" applyAlignment="1">
      <alignment vertical="center" wrapText="1"/>
    </xf>
    <xf numFmtId="0" fontId="99" fillId="0" borderId="0" xfId="0" applyFont="1" applyAlignment="1">
      <alignment horizontal="center" vertical="center"/>
    </xf>
    <xf numFmtId="3" fontId="92" fillId="0" borderId="0" xfId="0" applyNumberFormat="1" applyFont="1"/>
    <xf numFmtId="167" fontId="9" fillId="0" borderId="15" xfId="94" applyNumberFormat="1" applyFont="1" applyFill="1" applyBorder="1" applyAlignment="1">
      <alignment horizontal="center" vertical="center" wrapText="1"/>
    </xf>
    <xf numFmtId="167" fontId="10" fillId="0" borderId="15" xfId="94" applyNumberFormat="1" applyFont="1" applyFill="1" applyBorder="1" applyAlignment="1">
      <alignment horizontal="center" vertical="center" wrapText="1"/>
    </xf>
    <xf numFmtId="167" fontId="9" fillId="0" borderId="15" xfId="94" applyNumberFormat="1" applyFont="1" applyFill="1" applyBorder="1" applyAlignment="1">
      <alignment horizontal="center" vertical="center"/>
    </xf>
    <xf numFmtId="167" fontId="128" fillId="0" borderId="15" xfId="94" applyNumberFormat="1" applyFont="1" applyFill="1" applyBorder="1" applyAlignment="1">
      <alignment horizontal="center" vertical="center"/>
    </xf>
    <xf numFmtId="167" fontId="128" fillId="0" borderId="15" xfId="94" applyNumberFormat="1" applyFont="1" applyFill="1" applyBorder="1" applyAlignment="1">
      <alignment horizontal="center" vertical="center" wrapText="1"/>
    </xf>
    <xf numFmtId="3" fontId="9" fillId="0" borderId="0" xfId="211" applyNumberFormat="1" applyFont="1" applyFill="1" applyAlignment="1">
      <alignment vertical="center" wrapText="1"/>
    </xf>
    <xf numFmtId="3" fontId="9" fillId="0" borderId="0" xfId="211" applyNumberFormat="1" applyFont="1" applyFill="1" applyAlignment="1">
      <alignment horizontal="center" vertical="center" wrapText="1"/>
    </xf>
    <xf numFmtId="3" fontId="118" fillId="0" borderId="16" xfId="211" applyNumberFormat="1" applyFont="1" applyFill="1" applyBorder="1" applyAlignment="1">
      <alignment horizontal="center" vertical="center" wrapText="1"/>
    </xf>
    <xf numFmtId="3" fontId="10" fillId="0" borderId="0" xfId="211" applyNumberFormat="1" applyFont="1" applyFill="1" applyAlignment="1">
      <alignment vertical="center" wrapText="1"/>
    </xf>
    <xf numFmtId="3" fontId="10" fillId="0" borderId="12" xfId="211" applyNumberFormat="1" applyFont="1" applyFill="1" applyBorder="1" applyAlignment="1">
      <alignment horizontal="center" vertical="center" wrapText="1"/>
    </xf>
    <xf numFmtId="3" fontId="10" fillId="0" borderId="12" xfId="211" applyNumberFormat="1" applyFont="1" applyFill="1" applyBorder="1" applyAlignment="1">
      <alignment vertical="center" wrapText="1"/>
    </xf>
    <xf numFmtId="3" fontId="9" fillId="0" borderId="15" xfId="211" applyNumberFormat="1" applyFont="1" applyFill="1" applyBorder="1" applyAlignment="1">
      <alignment horizontal="center" vertical="center" wrapText="1"/>
    </xf>
    <xf numFmtId="3" fontId="9" fillId="0" borderId="15" xfId="211" applyNumberFormat="1" applyFont="1" applyFill="1" applyBorder="1" applyAlignment="1">
      <alignment vertical="center" wrapText="1"/>
    </xf>
    <xf numFmtId="3" fontId="10" fillId="0" borderId="15" xfId="211" applyNumberFormat="1" applyFont="1" applyFill="1" applyBorder="1" applyAlignment="1">
      <alignment horizontal="center" vertical="center" wrapText="1"/>
    </xf>
    <xf numFmtId="3" fontId="10" fillId="0" borderId="15" xfId="211" applyNumberFormat="1" applyFont="1" applyFill="1" applyBorder="1" applyAlignment="1">
      <alignment vertical="center" wrapText="1"/>
    </xf>
    <xf numFmtId="3" fontId="9" fillId="0" borderId="21" xfId="211" applyNumberFormat="1" applyFont="1" applyFill="1" applyBorder="1" applyAlignment="1">
      <alignment horizontal="center" vertical="center" wrapText="1"/>
    </xf>
    <xf numFmtId="3" fontId="9" fillId="0" borderId="21" xfId="211" applyNumberFormat="1" applyFont="1" applyFill="1" applyBorder="1" applyAlignment="1">
      <alignment vertical="center" wrapText="1"/>
    </xf>
    <xf numFmtId="3" fontId="58" fillId="0" borderId="15" xfId="211" applyNumberFormat="1" applyFont="1" applyFill="1" applyBorder="1" applyAlignment="1">
      <alignment vertical="center" wrapText="1"/>
    </xf>
    <xf numFmtId="3" fontId="119" fillId="0" borderId="15" xfId="211" applyNumberFormat="1" applyFont="1" applyFill="1" applyBorder="1" applyAlignment="1">
      <alignment horizontal="center" vertical="center" wrapText="1"/>
    </xf>
    <xf numFmtId="3" fontId="119" fillId="0" borderId="15" xfId="211" applyNumberFormat="1" applyFont="1" applyFill="1" applyBorder="1" applyAlignment="1">
      <alignment vertical="center" wrapText="1"/>
    </xf>
    <xf numFmtId="167" fontId="119" fillId="0" borderId="15" xfId="94" applyNumberFormat="1" applyFont="1" applyFill="1" applyBorder="1" applyAlignment="1">
      <alignment horizontal="center" vertical="center" wrapText="1"/>
    </xf>
    <xf numFmtId="3" fontId="119" fillId="0" borderId="0" xfId="211" applyNumberFormat="1" applyFont="1" applyFill="1" applyAlignment="1">
      <alignment vertical="center" wrapText="1"/>
    </xf>
    <xf numFmtId="167" fontId="119" fillId="0" borderId="15" xfId="94" applyNumberFormat="1" applyFont="1" applyFill="1" applyBorder="1" applyAlignment="1">
      <alignment horizontal="center" vertical="center"/>
    </xf>
    <xf numFmtId="1" fontId="119" fillId="0" borderId="15" xfId="192" applyNumberFormat="1" applyFont="1" applyFill="1" applyBorder="1" applyAlignment="1">
      <alignment horizontal="center" vertical="center" wrapText="1"/>
    </xf>
    <xf numFmtId="171" fontId="119" fillId="0" borderId="15" xfId="211" applyNumberFormat="1" applyFont="1" applyFill="1" applyBorder="1" applyAlignment="1">
      <alignment vertical="center" wrapText="1"/>
    </xf>
    <xf numFmtId="3" fontId="9" fillId="0" borderId="0" xfId="211" applyNumberFormat="1" applyFont="1" applyFill="1" applyAlignment="1">
      <alignment vertical="center"/>
    </xf>
    <xf numFmtId="167" fontId="9" fillId="0" borderId="15" xfId="94" applyNumberFormat="1" applyFont="1" applyFill="1" applyBorder="1" applyAlignment="1">
      <alignment horizontal="center" vertical="top" wrapText="1"/>
    </xf>
    <xf numFmtId="167" fontId="129" fillId="0" borderId="15" xfId="94" applyNumberFormat="1" applyFont="1" applyFill="1" applyBorder="1" applyAlignment="1">
      <alignment horizontal="center" vertical="center" wrapText="1"/>
    </xf>
    <xf numFmtId="167" fontId="128" fillId="0" borderId="15" xfId="94" applyNumberFormat="1" applyFont="1" applyFill="1" applyBorder="1" applyAlignment="1" applyProtection="1">
      <alignment horizontal="center" vertical="center" wrapText="1"/>
    </xf>
    <xf numFmtId="167" fontId="9" fillId="0" borderId="15" xfId="94" applyNumberFormat="1" applyFont="1" applyFill="1" applyBorder="1" applyAlignment="1" applyProtection="1">
      <alignment horizontal="center" vertical="center" wrapText="1"/>
    </xf>
    <xf numFmtId="167" fontId="119" fillId="0" borderId="15" xfId="94" applyNumberFormat="1" applyFont="1" applyFill="1" applyBorder="1" applyAlignment="1" applyProtection="1">
      <alignment horizontal="center" vertical="center" wrapText="1"/>
    </xf>
    <xf numFmtId="167" fontId="9" fillId="0" borderId="21" xfId="94" applyNumberFormat="1" applyFont="1" applyFill="1" applyBorder="1" applyAlignment="1">
      <alignment horizontal="center" vertical="center" wrapText="1"/>
    </xf>
    <xf numFmtId="0" fontId="130" fillId="0" borderId="0" xfId="0" applyFont="1" applyBorder="1" applyAlignment="1">
      <alignment horizontal="center" wrapText="1"/>
    </xf>
    <xf numFmtId="0" fontId="131" fillId="0" borderId="0" xfId="0" applyFont="1"/>
    <xf numFmtId="0" fontId="131" fillId="0" borderId="12" xfId="0" applyFont="1" applyBorder="1" applyAlignment="1">
      <alignment horizontal="center" vertical="center"/>
    </xf>
    <xf numFmtId="0" fontId="131" fillId="0" borderId="12" xfId="0" applyFont="1" applyBorder="1" applyAlignment="1">
      <alignment vertical="center"/>
    </xf>
    <xf numFmtId="0" fontId="131" fillId="0" borderId="15" xfId="0" applyFont="1" applyBorder="1" applyAlignment="1">
      <alignment horizontal="center" vertical="center"/>
    </xf>
    <xf numFmtId="0" fontId="131" fillId="0" borderId="15" xfId="0" applyFont="1" applyBorder="1" applyAlignment="1">
      <alignment vertical="center"/>
    </xf>
    <xf numFmtId="0" fontId="131" fillId="0" borderId="15" xfId="0" applyFont="1" applyFill="1" applyBorder="1" applyAlignment="1">
      <alignment horizontal="center" vertical="center"/>
    </xf>
    <xf numFmtId="0" fontId="131" fillId="0" borderId="15" xfId="0" applyFont="1" applyFill="1" applyBorder="1" applyAlignment="1">
      <alignment vertical="center"/>
    </xf>
    <xf numFmtId="0" fontId="131" fillId="0" borderId="21" xfId="0" applyFont="1" applyBorder="1" applyAlignment="1">
      <alignment horizontal="center" vertical="center"/>
    </xf>
    <xf numFmtId="0" fontId="131" fillId="0" borderId="21" xfId="0" applyFont="1" applyBorder="1" applyAlignment="1">
      <alignment vertical="center"/>
    </xf>
    <xf numFmtId="0" fontId="132" fillId="0" borderId="10" xfId="0" applyFont="1" applyBorder="1" applyAlignment="1">
      <alignment horizontal="center"/>
    </xf>
    <xf numFmtId="0" fontId="132" fillId="0" borderId="10" xfId="0" applyFont="1" applyFill="1" applyBorder="1" applyAlignment="1">
      <alignment horizontal="center"/>
    </xf>
    <xf numFmtId="0" fontId="132" fillId="0" borderId="0" xfId="0" applyFont="1" applyAlignment="1">
      <alignment horizontal="right"/>
    </xf>
    <xf numFmtId="0" fontId="133" fillId="0" borderId="10" xfId="0" applyFont="1" applyBorder="1" applyAlignment="1">
      <alignment horizontal="center" vertical="center" wrapText="1"/>
    </xf>
    <xf numFmtId="0" fontId="133" fillId="0" borderId="0" xfId="0" applyFont="1" applyAlignment="1">
      <alignment horizontal="center" vertical="center" wrapText="1"/>
    </xf>
    <xf numFmtId="167" fontId="133" fillId="0" borderId="10" xfId="94" applyNumberFormat="1" applyFont="1" applyBorder="1" applyAlignment="1">
      <alignment horizontal="center" vertical="center" wrapText="1"/>
    </xf>
    <xf numFmtId="0" fontId="134" fillId="0" borderId="0" xfId="0" applyFont="1" applyAlignment="1">
      <alignment horizontal="center" vertical="center" wrapText="1"/>
    </xf>
    <xf numFmtId="166" fontId="134" fillId="0" borderId="20" xfId="94" applyNumberFormat="1" applyFont="1" applyBorder="1" applyAlignment="1">
      <alignment vertical="center" wrapText="1"/>
    </xf>
    <xf numFmtId="166" fontId="134" fillId="0" borderId="20" xfId="0" applyNumberFormat="1" applyFont="1" applyBorder="1" applyAlignment="1">
      <alignment horizontal="center" vertical="center" wrapText="1"/>
    </xf>
    <xf numFmtId="0" fontId="134" fillId="0" borderId="10" xfId="0" applyFont="1" applyBorder="1" applyAlignment="1">
      <alignment horizontal="center" vertical="center"/>
    </xf>
    <xf numFmtId="0" fontId="134" fillId="0" borderId="10" xfId="0" applyFont="1" applyBorder="1" applyAlignment="1">
      <alignment horizontal="left" vertical="center" wrapText="1"/>
    </xf>
    <xf numFmtId="0" fontId="134" fillId="0" borderId="10" xfId="0" applyFont="1" applyBorder="1" applyAlignment="1">
      <alignment vertical="center"/>
    </xf>
    <xf numFmtId="166" fontId="134" fillId="0" borderId="10" xfId="94" applyNumberFormat="1" applyFont="1" applyBorder="1" applyAlignment="1">
      <alignment vertical="center"/>
    </xf>
    <xf numFmtId="0" fontId="134" fillId="0" borderId="0" xfId="0" applyFont="1" applyAlignment="1">
      <alignment vertical="center"/>
    </xf>
    <xf numFmtId="0" fontId="133" fillId="0" borderId="10" xfId="0" applyFont="1" applyBorder="1" applyAlignment="1">
      <alignment horizontal="center" vertical="center"/>
    </xf>
    <xf numFmtId="0" fontId="133" fillId="0" borderId="10" xfId="0" applyFont="1" applyBorder="1" applyAlignment="1">
      <alignment horizontal="left" vertical="center" wrapText="1"/>
    </xf>
    <xf numFmtId="0" fontId="133" fillId="0" borderId="10" xfId="0" applyFont="1" applyBorder="1" applyAlignment="1">
      <alignment vertical="center"/>
    </xf>
    <xf numFmtId="166" fontId="133" fillId="0" borderId="10" xfId="94" applyNumberFormat="1" applyFont="1" applyBorder="1" applyAlignment="1">
      <alignment vertical="center"/>
    </xf>
    <xf numFmtId="166" fontId="133" fillId="0" borderId="10" xfId="0" applyNumberFormat="1" applyFont="1" applyBorder="1" applyAlignment="1">
      <alignment horizontal="center" vertical="center" wrapText="1"/>
    </xf>
    <xf numFmtId="167" fontId="133" fillId="0" borderId="10" xfId="0" applyNumberFormat="1" applyFont="1" applyBorder="1" applyAlignment="1">
      <alignment vertical="center"/>
    </xf>
    <xf numFmtId="0" fontId="133" fillId="0" borderId="0" xfId="0" applyFont="1" applyAlignment="1">
      <alignment vertical="center"/>
    </xf>
    <xf numFmtId="166" fontId="134" fillId="0" borderId="10" xfId="0" applyNumberFormat="1" applyFont="1" applyBorder="1" applyAlignment="1">
      <alignment vertical="center"/>
    </xf>
    <xf numFmtId="166" fontId="133" fillId="0" borderId="10" xfId="94" applyNumberFormat="1" applyFont="1" applyBorder="1" applyAlignment="1">
      <alignment horizontal="center" vertical="center"/>
    </xf>
    <xf numFmtId="166" fontId="133" fillId="0" borderId="10" xfId="0" applyNumberFormat="1" applyFont="1" applyBorder="1" applyAlignment="1">
      <alignment horizontal="center" vertical="center"/>
    </xf>
    <xf numFmtId="0" fontId="133" fillId="0" borderId="0" xfId="0" applyFont="1" applyAlignment="1">
      <alignment horizontal="center" vertical="center"/>
    </xf>
    <xf numFmtId="0" fontId="133" fillId="0" borderId="0" xfId="0" applyFont="1" applyAlignment="1">
      <alignment horizontal="left" vertical="center" wrapText="1"/>
    </xf>
    <xf numFmtId="0" fontId="135" fillId="0" borderId="0" xfId="0" applyFont="1" applyAlignment="1">
      <alignment horizontal="center" vertical="center" wrapText="1"/>
    </xf>
    <xf numFmtId="166" fontId="131" fillId="0" borderId="12" xfId="94" applyNumberFormat="1" applyFont="1" applyBorder="1" applyAlignment="1">
      <alignment vertical="center"/>
    </xf>
    <xf numFmtId="3" fontId="131" fillId="0" borderId="15" xfId="0" applyNumberFormat="1" applyFont="1" applyBorder="1" applyAlignment="1">
      <alignment vertical="center"/>
    </xf>
    <xf numFmtId="3" fontId="131" fillId="0" borderId="15" xfId="0" applyNumberFormat="1" applyFont="1" applyFill="1" applyBorder="1" applyAlignment="1">
      <alignment vertical="center"/>
    </xf>
    <xf numFmtId="3" fontId="131" fillId="0" borderId="21" xfId="0" applyNumberFormat="1" applyFont="1" applyBorder="1" applyAlignment="1">
      <alignment vertical="center"/>
    </xf>
    <xf numFmtId="0" fontId="136" fillId="0" borderId="0" xfId="0" applyFont="1" applyAlignment="1">
      <alignment vertical="top" wrapText="1"/>
    </xf>
    <xf numFmtId="0" fontId="131" fillId="0" borderId="0" xfId="0" applyFont="1" applyAlignment="1">
      <alignment vertical="top" wrapText="1"/>
    </xf>
    <xf numFmtId="0" fontId="137" fillId="0" borderId="0" xfId="0" applyFont="1" applyBorder="1" applyAlignment="1">
      <alignment vertical="center" wrapText="1"/>
    </xf>
    <xf numFmtId="166" fontId="132" fillId="0" borderId="10" xfId="0" applyNumberFormat="1" applyFont="1" applyFill="1" applyBorder="1" applyAlignment="1">
      <alignment horizontal="center"/>
    </xf>
    <xf numFmtId="166" fontId="131" fillId="0" borderId="17" xfId="94" applyNumberFormat="1" applyFont="1" applyBorder="1" applyAlignment="1">
      <alignment vertical="center"/>
    </xf>
    <xf numFmtId="3" fontId="131" fillId="0" borderId="17" xfId="0" applyNumberFormat="1" applyFont="1" applyBorder="1" applyAlignment="1">
      <alignment vertical="center"/>
    </xf>
    <xf numFmtId="3" fontId="120" fillId="0" borderId="0" xfId="211" applyNumberFormat="1" applyFont="1" applyFill="1" applyBorder="1" applyAlignment="1">
      <alignment horizontal="center" vertical="center" wrapText="1"/>
    </xf>
    <xf numFmtId="171" fontId="10" fillId="0" borderId="0" xfId="211" applyNumberFormat="1" applyFont="1" applyFill="1" applyBorder="1" applyAlignment="1">
      <alignment vertical="center" wrapText="1"/>
    </xf>
    <xf numFmtId="3" fontId="58" fillId="0" borderId="0" xfId="211" applyNumberFormat="1" applyFont="1" applyFill="1" applyBorder="1" applyAlignment="1">
      <alignment vertical="center" wrapText="1"/>
    </xf>
    <xf numFmtId="3" fontId="10" fillId="0" borderId="0" xfId="211" applyNumberFormat="1" applyFont="1" applyFill="1" applyBorder="1" applyAlignment="1">
      <alignment vertical="center" wrapText="1"/>
    </xf>
    <xf numFmtId="167" fontId="9" fillId="0" borderId="0" xfId="94" applyNumberFormat="1" applyFont="1" applyFill="1" applyAlignment="1">
      <alignment vertical="center" wrapText="1"/>
    </xf>
    <xf numFmtId="167" fontId="120" fillId="0" borderId="0" xfId="94" applyNumberFormat="1" applyFont="1" applyFill="1" applyBorder="1" applyAlignment="1">
      <alignment horizontal="center" vertical="center" wrapText="1"/>
    </xf>
    <xf numFmtId="167" fontId="10" fillId="0" borderId="0" xfId="94" applyNumberFormat="1" applyFont="1" applyFill="1" applyBorder="1" applyAlignment="1">
      <alignment vertical="center" wrapText="1"/>
    </xf>
    <xf numFmtId="167" fontId="58" fillId="0" borderId="0" xfId="94" applyNumberFormat="1" applyFont="1" applyFill="1" applyBorder="1" applyAlignment="1">
      <alignment vertical="center" wrapText="1"/>
    </xf>
    <xf numFmtId="171" fontId="9" fillId="0" borderId="15" xfId="211" applyNumberFormat="1" applyFont="1" applyFill="1" applyBorder="1" applyAlignment="1">
      <alignment vertical="center" wrapText="1"/>
    </xf>
    <xf numFmtId="171" fontId="9" fillId="0" borderId="21" xfId="211" applyNumberFormat="1" applyFont="1" applyFill="1" applyBorder="1" applyAlignment="1">
      <alignment vertical="center" wrapText="1"/>
    </xf>
    <xf numFmtId="166" fontId="130" fillId="0" borderId="0" xfId="0" applyNumberFormat="1" applyFont="1" applyBorder="1" applyAlignment="1">
      <alignment horizontal="center" wrapText="1"/>
    </xf>
    <xf numFmtId="166" fontId="130" fillId="0" borderId="0" xfId="0" applyNumberFormat="1" applyFont="1" applyBorder="1" applyAlignment="1">
      <alignment horizontal="center" vertical="center" wrapText="1"/>
    </xf>
    <xf numFmtId="166" fontId="133" fillId="0" borderId="25" xfId="0" applyNumberFormat="1" applyFont="1" applyBorder="1" applyAlignment="1">
      <alignment vertical="center" wrapText="1"/>
    </xf>
    <xf numFmtId="0" fontId="135" fillId="0" borderId="0" xfId="0" applyFont="1" applyAlignment="1">
      <alignment horizontal="center" vertical="center" wrapText="1"/>
    </xf>
    <xf numFmtId="166" fontId="133" fillId="0" borderId="0" xfId="0" applyNumberFormat="1" applyFont="1" applyAlignment="1">
      <alignment vertical="center"/>
    </xf>
    <xf numFmtId="168" fontId="134" fillId="0" borderId="0" xfId="0" applyNumberFormat="1" applyFont="1" applyAlignment="1">
      <alignment vertical="center"/>
    </xf>
    <xf numFmtId="0" fontId="131" fillId="0" borderId="0" xfId="0" applyFont="1" applyAlignment="1">
      <alignment horizontal="center" vertical="top"/>
    </xf>
    <xf numFmtId="169" fontId="130" fillId="0" borderId="0" xfId="94" applyNumberFormat="1" applyFont="1" applyBorder="1" applyAlignment="1">
      <alignment horizontal="center" wrapText="1"/>
    </xf>
    <xf numFmtId="166" fontId="134" fillId="0" borderId="10" xfId="0" applyNumberFormat="1" applyFont="1" applyBorder="1" applyAlignment="1">
      <alignment horizontal="center" vertical="center" wrapText="1"/>
    </xf>
    <xf numFmtId="166" fontId="134" fillId="0" borderId="10" xfId="0" applyNumberFormat="1" applyFont="1" applyBorder="1" applyAlignment="1">
      <alignment horizontal="center" vertical="center"/>
    </xf>
    <xf numFmtId="166" fontId="134" fillId="0" borderId="0" xfId="0" applyNumberFormat="1" applyFont="1" applyAlignment="1">
      <alignment vertical="center"/>
    </xf>
    <xf numFmtId="3" fontId="58" fillId="0" borderId="21" xfId="211" applyNumberFormat="1" applyFont="1" applyFill="1" applyBorder="1" applyAlignment="1">
      <alignment vertical="center" wrapText="1"/>
    </xf>
    <xf numFmtId="0" fontId="134" fillId="0" borderId="20" xfId="0" applyFont="1" applyBorder="1" applyAlignment="1">
      <alignment horizontal="center" vertical="center" wrapText="1"/>
    </xf>
    <xf numFmtId="0" fontId="134" fillId="0" borderId="10" xfId="0" applyFont="1" applyBorder="1" applyAlignment="1">
      <alignment horizontal="center" vertical="center" wrapText="1"/>
    </xf>
    <xf numFmtId="167" fontId="10" fillId="0" borderId="15" xfId="94" applyNumberFormat="1" applyFont="1" applyFill="1" applyBorder="1" applyAlignment="1">
      <alignment vertical="center" wrapText="1"/>
    </xf>
    <xf numFmtId="3" fontId="10" fillId="0" borderId="22" xfId="211" applyNumberFormat="1" applyFont="1" applyFill="1" applyBorder="1" applyAlignment="1">
      <alignment vertical="center" wrapText="1"/>
    </xf>
    <xf numFmtId="3" fontId="9" fillId="0" borderId="0" xfId="211" applyNumberFormat="1" applyFont="1" applyFill="1" applyBorder="1" applyAlignment="1">
      <alignment horizontal="center" vertical="center" wrapText="1"/>
    </xf>
    <xf numFmtId="3" fontId="9" fillId="0" borderId="0" xfId="211" applyNumberFormat="1" applyFont="1" applyFill="1" applyBorder="1" applyAlignment="1">
      <alignment vertical="center" wrapText="1"/>
    </xf>
    <xf numFmtId="167" fontId="9" fillId="0" borderId="0" xfId="94" applyNumberFormat="1" applyFont="1" applyFill="1" applyBorder="1" applyAlignment="1">
      <alignment horizontal="center" vertical="center" wrapText="1"/>
    </xf>
    <xf numFmtId="171" fontId="9" fillId="0" borderId="0" xfId="211" applyNumberFormat="1" applyFont="1" applyFill="1" applyBorder="1" applyAlignment="1">
      <alignment vertical="center" wrapText="1"/>
    </xf>
    <xf numFmtId="3" fontId="9" fillId="0" borderId="0" xfId="211" applyNumberFormat="1" applyFont="1" applyFill="1" applyAlignment="1">
      <alignment horizontal="right" vertical="center" wrapText="1"/>
    </xf>
    <xf numFmtId="43" fontId="9" fillId="0" borderId="0" xfId="94" applyFont="1" applyFill="1" applyAlignment="1">
      <alignment horizontal="right" vertical="center" wrapText="1"/>
    </xf>
    <xf numFmtId="3" fontId="131" fillId="0" borderId="15" xfId="0" applyNumberFormat="1" applyFont="1" applyBorder="1" applyAlignment="1">
      <alignment horizontal="center" vertical="center"/>
    </xf>
    <xf numFmtId="0" fontId="138" fillId="0" borderId="0" xfId="0" applyFont="1" applyFill="1" applyAlignment="1">
      <alignment horizontal="center" vertical="center" wrapText="1"/>
    </xf>
    <xf numFmtId="0" fontId="132" fillId="0" borderId="0" xfId="0" applyFont="1" applyAlignment="1">
      <alignment horizontal="center" vertical="center"/>
    </xf>
    <xf numFmtId="0" fontId="136" fillId="0" borderId="0" xfId="0" applyFont="1" applyAlignment="1">
      <alignment horizontal="center" vertical="center"/>
    </xf>
    <xf numFmtId="0" fontId="134" fillId="0" borderId="10" xfId="0" applyFont="1" applyBorder="1" applyAlignment="1">
      <alignment horizontal="center" vertical="center" wrapText="1"/>
    </xf>
    <xf numFmtId="3" fontId="10" fillId="0" borderId="0" xfId="211" applyNumberFormat="1" applyFont="1" applyFill="1" applyAlignment="1">
      <alignment horizontal="center" vertical="center" wrapText="1"/>
    </xf>
    <xf numFmtId="3" fontId="120" fillId="0" borderId="10" xfId="211" applyNumberFormat="1" applyFont="1" applyFill="1" applyBorder="1" applyAlignment="1">
      <alignment horizontal="center" vertical="center" wrapText="1"/>
    </xf>
    <xf numFmtId="0" fontId="134" fillId="0" borderId="10" xfId="0" applyFont="1" applyBorder="1" applyAlignment="1">
      <alignment horizontal="center" vertical="center" wrapText="1"/>
    </xf>
    <xf numFmtId="0" fontId="134" fillId="0" borderId="20" xfId="0" applyFont="1" applyBorder="1" applyAlignment="1">
      <alignment horizontal="center" vertical="center" wrapText="1"/>
    </xf>
    <xf numFmtId="0" fontId="131" fillId="0" borderId="0" xfId="0" applyFont="1" applyAlignment="1">
      <alignment horizontal="center" vertical="center"/>
    </xf>
    <xf numFmtId="0" fontId="131" fillId="0" borderId="0" xfId="0" applyFont="1" applyAlignment="1">
      <alignment vertical="center"/>
    </xf>
    <xf numFmtId="0" fontId="0" fillId="0" borderId="0" xfId="0" applyAlignment="1">
      <alignment vertical="center"/>
    </xf>
    <xf numFmtId="3" fontId="118" fillId="0" borderId="0" xfId="211" applyNumberFormat="1" applyFont="1" applyFill="1" applyBorder="1" applyAlignment="1">
      <alignment horizontal="center" vertical="center" wrapText="1"/>
    </xf>
    <xf numFmtId="3" fontId="128" fillId="0" borderId="15" xfId="211" applyNumberFormat="1" applyFont="1" applyFill="1" applyBorder="1" applyAlignment="1">
      <alignment horizontal="center" vertical="center" wrapText="1"/>
    </xf>
    <xf numFmtId="167" fontId="10" fillId="0" borderId="15" xfId="94" applyNumberFormat="1" applyFont="1" applyFill="1" applyBorder="1" applyAlignment="1">
      <alignment horizontal="center" vertical="center"/>
    </xf>
    <xf numFmtId="0" fontId="139" fillId="0" borderId="0" xfId="0" applyFont="1"/>
    <xf numFmtId="3" fontId="9" fillId="0" borderId="17" xfId="211" applyNumberFormat="1" applyFont="1" applyFill="1" applyBorder="1" applyAlignment="1">
      <alignment horizontal="center" vertical="center" wrapText="1"/>
    </xf>
    <xf numFmtId="166" fontId="134" fillId="0" borderId="10" xfId="115" applyNumberFormat="1" applyFont="1" applyBorder="1" applyAlignment="1">
      <alignment vertical="center"/>
    </xf>
    <xf numFmtId="166" fontId="134" fillId="0" borderId="0" xfId="0" applyNumberFormat="1" applyFont="1" applyAlignment="1">
      <alignment horizontal="center" vertical="center" wrapText="1"/>
    </xf>
    <xf numFmtId="166" fontId="134" fillId="0" borderId="10" xfId="94" applyNumberFormat="1" applyFont="1" applyBorder="1" applyAlignment="1">
      <alignment horizontal="center" vertical="center"/>
    </xf>
    <xf numFmtId="166" fontId="134" fillId="0" borderId="10" xfId="115" applyNumberFormat="1" applyFont="1" applyBorder="1" applyAlignment="1">
      <alignment horizontal="center" vertical="center"/>
    </xf>
    <xf numFmtId="166" fontId="133" fillId="0" borderId="10" xfId="115" applyNumberFormat="1" applyFont="1" applyBorder="1" applyAlignment="1">
      <alignment horizontal="center" vertical="center"/>
    </xf>
    <xf numFmtId="166" fontId="133" fillId="0" borderId="0" xfId="0" applyNumberFormat="1" applyFont="1" applyAlignment="1">
      <alignment horizontal="center" vertical="center"/>
    </xf>
    <xf numFmtId="168" fontId="133" fillId="0" borderId="0" xfId="0" applyNumberFormat="1" applyFont="1" applyAlignment="1">
      <alignment horizontal="center" vertical="center"/>
    </xf>
    <xf numFmtId="166" fontId="134" fillId="0" borderId="0" xfId="94" applyNumberFormat="1" applyFont="1" applyAlignment="1">
      <alignment horizontal="center" vertical="center" wrapText="1"/>
    </xf>
    <xf numFmtId="166" fontId="133" fillId="0" borderId="10" xfId="115" applyNumberFormat="1" applyFont="1" applyBorder="1" applyAlignment="1">
      <alignment vertical="center"/>
    </xf>
    <xf numFmtId="166" fontId="134" fillId="0" borderId="0" xfId="94" applyNumberFormat="1" applyFont="1" applyAlignment="1">
      <alignment vertical="center"/>
    </xf>
    <xf numFmtId="0" fontId="132" fillId="0" borderId="10" xfId="0" applyFont="1" applyBorder="1" applyAlignment="1">
      <alignment horizontal="center" vertical="center" wrapText="1"/>
    </xf>
    <xf numFmtId="0" fontId="134" fillId="0" borderId="0" xfId="0" applyFont="1" applyBorder="1" applyAlignment="1">
      <alignment horizontal="center" vertical="center"/>
    </xf>
    <xf numFmtId="0" fontId="134" fillId="0" borderId="0" xfId="0" applyFont="1" applyBorder="1" applyAlignment="1">
      <alignment horizontal="left" vertical="center" wrapText="1"/>
    </xf>
    <xf numFmtId="0" fontId="134" fillId="0" borderId="0" xfId="0" applyFont="1" applyBorder="1" applyAlignment="1">
      <alignment vertical="center"/>
    </xf>
    <xf numFmtId="166" fontId="134" fillId="0" borderId="0" xfId="115" applyNumberFormat="1" applyFont="1" applyBorder="1" applyAlignment="1">
      <alignment vertical="center"/>
    </xf>
    <xf numFmtId="0" fontId="134" fillId="0" borderId="0" xfId="0" applyFont="1" applyBorder="1" applyAlignment="1">
      <alignment horizontal="center" vertical="center" wrapText="1"/>
    </xf>
    <xf numFmtId="166" fontId="134" fillId="0" borderId="0" xfId="115" applyNumberFormat="1" applyFont="1" applyBorder="1" applyAlignment="1">
      <alignment horizontal="center" vertical="center"/>
    </xf>
    <xf numFmtId="166" fontId="134" fillId="0" borderId="0" xfId="0" applyNumberFormat="1" applyFont="1" applyBorder="1" applyAlignment="1">
      <alignment horizontal="center" vertical="center" wrapText="1"/>
    </xf>
    <xf numFmtId="166" fontId="134" fillId="0" borderId="0" xfId="0" applyNumberFormat="1" applyFont="1" applyBorder="1" applyAlignment="1">
      <alignment horizontal="center" vertical="center"/>
    </xf>
    <xf numFmtId="0" fontId="136" fillId="0" borderId="16" xfId="0" applyFont="1" applyBorder="1" applyAlignment="1">
      <alignment horizontal="center" vertical="top" wrapText="1"/>
    </xf>
    <xf numFmtId="0" fontId="136" fillId="0" borderId="0" xfId="0" applyFont="1" applyBorder="1" applyAlignment="1">
      <alignment horizontal="center" vertical="top" wrapText="1"/>
    </xf>
    <xf numFmtId="0" fontId="136" fillId="0" borderId="16" xfId="0" applyFont="1" applyBorder="1" applyAlignment="1">
      <alignment vertical="top" wrapText="1"/>
    </xf>
    <xf numFmtId="3" fontId="131" fillId="0" borderId="15" xfId="0" applyNumberFormat="1" applyFont="1" applyBorder="1" applyAlignment="1">
      <alignment horizontal="justify" vertical="center" wrapText="1"/>
    </xf>
    <xf numFmtId="3" fontId="131" fillId="0" borderId="21" xfId="0" applyNumberFormat="1" applyFont="1" applyBorder="1" applyAlignment="1">
      <alignment horizontal="justify" vertical="center" wrapText="1"/>
    </xf>
    <xf numFmtId="166" fontId="131" fillId="0" borderId="15" xfId="0" applyNumberFormat="1" applyFont="1" applyFill="1" applyBorder="1" applyAlignment="1">
      <alignment horizontal="center" vertical="center" wrapText="1"/>
    </xf>
    <xf numFmtId="0" fontId="131" fillId="0" borderId="15" xfId="0" applyFont="1" applyFill="1" applyBorder="1" applyAlignment="1">
      <alignment horizontal="center" vertical="center" wrapText="1"/>
    </xf>
    <xf numFmtId="166" fontId="132" fillId="0" borderId="15" xfId="0" applyNumberFormat="1" applyFont="1" applyFill="1" applyBorder="1" applyAlignment="1">
      <alignment horizontal="center" vertical="center" wrapText="1"/>
    </xf>
    <xf numFmtId="0" fontId="131" fillId="0" borderId="15" xfId="0" applyFont="1" applyBorder="1" applyAlignment="1">
      <alignment horizontal="center" vertical="center" wrapText="1"/>
    </xf>
    <xf numFmtId="0" fontId="139" fillId="0" borderId="0" xfId="0" applyFont="1" applyAlignment="1">
      <alignment horizontal="center" vertical="center"/>
    </xf>
    <xf numFmtId="0" fontId="132" fillId="0" borderId="15" xfId="0" applyFont="1" applyBorder="1" applyAlignment="1">
      <alignment horizontal="center" vertical="center" wrapText="1"/>
    </xf>
    <xf numFmtId="0" fontId="141" fillId="0" borderId="0" xfId="0" applyFont="1"/>
    <xf numFmtId="0" fontId="139" fillId="0" borderId="0" xfId="0" applyFont="1" applyAlignment="1">
      <alignment vertical="center"/>
    </xf>
    <xf numFmtId="0" fontId="132" fillId="0" borderId="21" xfId="0" applyFont="1" applyBorder="1" applyAlignment="1">
      <alignment horizontal="center" vertical="center" wrapText="1"/>
    </xf>
    <xf numFmtId="166" fontId="132" fillId="0" borderId="21" xfId="0" applyNumberFormat="1" applyFont="1" applyFill="1" applyBorder="1" applyAlignment="1">
      <alignment horizontal="center" vertical="center" wrapText="1"/>
    </xf>
    <xf numFmtId="0" fontId="140" fillId="0" borderId="15" xfId="0" applyFont="1" applyBorder="1" applyAlignment="1">
      <alignment horizontal="center" vertical="center" wrapText="1"/>
    </xf>
    <xf numFmtId="166" fontId="140" fillId="0" borderId="15" xfId="0" applyNumberFormat="1" applyFont="1" applyFill="1" applyBorder="1" applyAlignment="1">
      <alignment horizontal="center" vertical="center" wrapText="1"/>
    </xf>
    <xf numFmtId="0" fontId="142" fillId="0" borderId="0" xfId="0" applyFont="1"/>
    <xf numFmtId="3" fontId="131" fillId="0" borderId="0" xfId="0" applyNumberFormat="1" applyFont="1" applyAlignment="1">
      <alignment vertical="center" wrapText="1"/>
    </xf>
    <xf numFmtId="3" fontId="131" fillId="0" borderId="0" xfId="0" applyNumberFormat="1" applyFont="1" applyAlignment="1">
      <alignment horizontal="center" vertical="center" wrapText="1"/>
    </xf>
    <xf numFmtId="3" fontId="132" fillId="0" borderId="0" xfId="0" applyNumberFormat="1" applyFont="1" applyAlignment="1">
      <alignment vertical="center" wrapText="1"/>
    </xf>
    <xf numFmtId="0" fontId="131" fillId="0" borderId="0" xfId="0" applyFont="1" applyAlignment="1">
      <alignment horizontal="center"/>
    </xf>
    <xf numFmtId="0" fontId="131" fillId="0" borderId="0" xfId="0" applyFont="1" applyAlignment="1">
      <alignment horizontal="center" vertical="center" wrapText="1"/>
    </xf>
    <xf numFmtId="166" fontId="139" fillId="0" borderId="0" xfId="0" applyNumberFormat="1" applyFont="1"/>
    <xf numFmtId="3" fontId="132" fillId="0" borderId="15" xfId="0" applyNumberFormat="1" applyFont="1" applyBorder="1" applyAlignment="1">
      <alignment horizontal="justify" vertical="center" wrapText="1"/>
    </xf>
    <xf numFmtId="3" fontId="15" fillId="0" borderId="15" xfId="0" applyNumberFormat="1" applyFont="1" applyFill="1" applyBorder="1" applyAlignment="1">
      <alignment vertical="center" wrapText="1"/>
    </xf>
    <xf numFmtId="0" fontId="138" fillId="0" borderId="0" xfId="0" applyFont="1" applyAlignment="1">
      <alignment horizontal="right"/>
    </xf>
    <xf numFmtId="0" fontId="143" fillId="0" borderId="0" xfId="0" applyFont="1" applyAlignment="1">
      <alignment horizontal="right"/>
    </xf>
    <xf numFmtId="3" fontId="145" fillId="0" borderId="10" xfId="0" applyNumberFormat="1" applyFont="1" applyBorder="1" applyAlignment="1">
      <alignment horizontal="center" vertical="center" wrapText="1"/>
    </xf>
    <xf numFmtId="3" fontId="145" fillId="0" borderId="15" xfId="0" applyNumberFormat="1" applyFont="1" applyBorder="1" applyAlignment="1">
      <alignment horizontal="center" vertical="center" wrapText="1"/>
    </xf>
    <xf numFmtId="3" fontId="145" fillId="0" borderId="15" xfId="0" applyNumberFormat="1" applyFont="1" applyBorder="1" applyAlignment="1">
      <alignment vertical="center" wrapText="1"/>
    </xf>
    <xf numFmtId="3" fontId="19" fillId="0" borderId="15" xfId="0" applyNumberFormat="1" applyFont="1" applyBorder="1" applyAlignment="1">
      <alignment vertical="center" wrapText="1"/>
    </xf>
    <xf numFmtId="3" fontId="138" fillId="0" borderId="10" xfId="0" applyNumberFormat="1" applyFont="1" applyBorder="1" applyAlignment="1">
      <alignment horizontal="center" vertical="center" wrapText="1"/>
    </xf>
    <xf numFmtId="3" fontId="138" fillId="0" borderId="10" xfId="0" applyNumberFormat="1" applyFont="1" applyBorder="1" applyAlignment="1">
      <alignment vertical="center" wrapText="1"/>
    </xf>
    <xf numFmtId="0" fontId="146" fillId="0" borderId="0" xfId="0" applyFont="1" applyAlignment="1">
      <alignment horizontal="center" vertical="center"/>
    </xf>
    <xf numFmtId="0" fontId="132" fillId="0" borderId="10" xfId="0" applyFont="1" applyFill="1" applyBorder="1" applyAlignment="1">
      <alignment horizontal="center" vertical="center" wrapText="1"/>
    </xf>
    <xf numFmtId="0" fontId="131" fillId="0" borderId="15" xfId="0" applyFont="1" applyBorder="1" applyAlignment="1">
      <alignment horizontal="justify" vertical="center" wrapText="1"/>
    </xf>
    <xf numFmtId="3" fontId="140" fillId="0" borderId="15" xfId="0" applyNumberFormat="1" applyFont="1" applyBorder="1" applyAlignment="1">
      <alignment horizontal="justify" vertical="center" wrapText="1"/>
    </xf>
    <xf numFmtId="0" fontId="131" fillId="0" borderId="17" xfId="0" applyFont="1" applyFill="1" applyBorder="1" applyAlignment="1">
      <alignment horizontal="center" vertical="center" wrapText="1"/>
    </xf>
    <xf numFmtId="166" fontId="131" fillId="0" borderId="17" xfId="0" applyNumberFormat="1" applyFont="1" applyFill="1" applyBorder="1" applyAlignment="1">
      <alignment horizontal="center" vertical="center" wrapText="1"/>
    </xf>
    <xf numFmtId="0" fontId="131" fillId="0" borderId="17" xfId="0" applyFont="1" applyFill="1" applyBorder="1" applyAlignment="1">
      <alignment horizontal="justify" vertical="center" wrapText="1"/>
    </xf>
    <xf numFmtId="166" fontId="132" fillId="0" borderId="10" xfId="0" applyNumberFormat="1" applyFont="1" applyFill="1" applyBorder="1" applyAlignment="1">
      <alignment horizontal="center" vertical="center" wrapText="1"/>
    </xf>
    <xf numFmtId="0" fontId="131" fillId="0" borderId="18" xfId="0" applyFont="1" applyFill="1" applyBorder="1" applyAlignment="1">
      <alignment horizontal="center" vertical="center" wrapText="1"/>
    </xf>
    <xf numFmtId="166" fontId="131" fillId="0" borderId="18" xfId="0" applyNumberFormat="1" applyFont="1" applyFill="1" applyBorder="1" applyAlignment="1">
      <alignment horizontal="center" vertical="center" wrapText="1"/>
    </xf>
    <xf numFmtId="0" fontId="131" fillId="0" borderId="18" xfId="0" applyFont="1" applyFill="1" applyBorder="1" applyAlignment="1">
      <alignment horizontal="justify" vertical="center" wrapText="1"/>
    </xf>
    <xf numFmtId="0" fontId="132" fillId="0" borderId="17" xfId="0" applyFont="1" applyBorder="1" applyAlignment="1">
      <alignment horizontal="center" vertical="center" wrapText="1"/>
    </xf>
    <xf numFmtId="166" fontId="132" fillId="0" borderId="17" xfId="0" applyNumberFormat="1" applyFont="1" applyFill="1" applyBorder="1" applyAlignment="1">
      <alignment horizontal="center" vertical="center" wrapText="1"/>
    </xf>
    <xf numFmtId="3" fontId="132" fillId="0" borderId="17" xfId="0" applyNumberFormat="1" applyFont="1" applyBorder="1" applyAlignment="1">
      <alignment horizontal="justify" vertical="center" wrapText="1"/>
    </xf>
    <xf numFmtId="0" fontId="132" fillId="0" borderId="10" xfId="0" applyFont="1" applyFill="1" applyBorder="1" applyAlignment="1">
      <alignment horizontal="justify" vertical="center" wrapText="1"/>
    </xf>
    <xf numFmtId="3" fontId="145" fillId="0" borderId="0" xfId="0" applyNumberFormat="1" applyFont="1" applyAlignment="1">
      <alignment horizontal="right" vertical="center" wrapText="1"/>
    </xf>
    <xf numFmtId="0" fontId="131" fillId="0" borderId="17" xfId="0" applyFont="1" applyBorder="1" applyAlignment="1">
      <alignment horizontal="justify" vertical="center" wrapText="1"/>
    </xf>
    <xf numFmtId="0" fontId="131" fillId="0" borderId="18" xfId="0" applyFont="1" applyBorder="1" applyAlignment="1">
      <alignment horizontal="justify" vertical="center" wrapText="1"/>
    </xf>
    <xf numFmtId="0" fontId="132" fillId="0" borderId="17" xfId="0" applyFont="1" applyBorder="1" applyAlignment="1">
      <alignment horizontal="justify" vertical="center" wrapText="1"/>
    </xf>
    <xf numFmtId="0" fontId="140" fillId="0" borderId="15" xfId="0" applyFont="1" applyBorder="1" applyAlignment="1">
      <alignment horizontal="justify" vertical="center" wrapText="1"/>
    </xf>
    <xf numFmtId="0" fontId="132" fillId="0" borderId="15" xfId="0" applyFont="1" applyBorder="1" applyAlignment="1">
      <alignment horizontal="justify" vertical="center" wrapText="1"/>
    </xf>
    <xf numFmtId="0" fontId="132" fillId="0" borderId="21" xfId="0" applyFont="1" applyBorder="1" applyAlignment="1">
      <alignment horizontal="justify" vertical="center" wrapText="1"/>
    </xf>
    <xf numFmtId="3" fontId="101" fillId="0" borderId="22" xfId="0" applyNumberFormat="1" applyFont="1" applyBorder="1" applyAlignment="1">
      <alignment horizontal="center" vertical="center" wrapText="1"/>
    </xf>
    <xf numFmtId="3" fontId="101" fillId="0" borderId="20" xfId="0" applyNumberFormat="1" applyFont="1" applyBorder="1" applyAlignment="1">
      <alignment horizontal="center" vertical="center" wrapText="1"/>
    </xf>
    <xf numFmtId="3" fontId="101" fillId="0" borderId="10" xfId="0" applyNumberFormat="1" applyFont="1" applyBorder="1" applyAlignment="1">
      <alignment horizontal="center" vertical="center" wrapText="1"/>
    </xf>
    <xf numFmtId="3" fontId="101" fillId="0" borderId="25" xfId="0" applyNumberFormat="1" applyFont="1" applyBorder="1" applyAlignment="1">
      <alignment horizontal="center" vertical="center" wrapText="1"/>
    </xf>
    <xf numFmtId="3" fontId="101" fillId="0" borderId="9" xfId="0" applyNumberFormat="1" applyFont="1" applyBorder="1" applyAlignment="1">
      <alignment horizontal="center" vertical="center" wrapText="1"/>
    </xf>
    <xf numFmtId="3" fontId="101" fillId="0" borderId="26" xfId="0" applyNumberFormat="1" applyFont="1" applyBorder="1" applyAlignment="1">
      <alignment horizontal="center" vertical="center" wrapText="1"/>
    </xf>
    <xf numFmtId="0" fontId="105"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101" fillId="0" borderId="25" xfId="0" applyNumberFormat="1" applyFont="1" applyFill="1" applyBorder="1" applyAlignment="1">
      <alignment horizontal="center" vertical="center" wrapText="1"/>
    </xf>
    <xf numFmtId="3" fontId="101" fillId="0" borderId="9" xfId="0" applyNumberFormat="1" applyFont="1" applyFill="1" applyBorder="1" applyAlignment="1">
      <alignment horizontal="center" vertical="center" wrapText="1"/>
    </xf>
    <xf numFmtId="3" fontId="101" fillId="0" borderId="26" xfId="0" applyNumberFormat="1" applyFont="1" applyFill="1" applyBorder="1" applyAlignment="1">
      <alignment horizontal="center" vertical="center" wrapText="1"/>
    </xf>
    <xf numFmtId="3" fontId="18" fillId="0" borderId="16" xfId="0" applyNumberFormat="1" applyFont="1" applyFill="1" applyBorder="1" applyAlignment="1">
      <alignment horizontal="center" vertical="center" wrapText="1"/>
    </xf>
    <xf numFmtId="3" fontId="104" fillId="0" borderId="0" xfId="0" applyNumberFormat="1" applyFont="1" applyFill="1" applyBorder="1" applyAlignment="1">
      <alignment horizontal="center" vertical="center" wrapText="1"/>
    </xf>
    <xf numFmtId="3" fontId="100" fillId="0" borderId="22" xfId="0" applyNumberFormat="1" applyFont="1" applyFill="1" applyBorder="1" applyAlignment="1">
      <alignment horizontal="center" vertical="center" wrapText="1"/>
    </xf>
    <xf numFmtId="3" fontId="100" fillId="0" borderId="24" xfId="0" applyNumberFormat="1" applyFont="1" applyFill="1" applyBorder="1" applyAlignment="1">
      <alignment horizontal="center" vertical="center" wrapText="1"/>
    </xf>
    <xf numFmtId="3" fontId="100" fillId="0" borderId="20" xfId="0" applyNumberFormat="1" applyFont="1" applyFill="1" applyBorder="1" applyAlignment="1">
      <alignment horizontal="center" vertical="center" wrapText="1"/>
    </xf>
    <xf numFmtId="0" fontId="94" fillId="0" borderId="0" xfId="0" applyFont="1" applyAlignment="1">
      <alignment horizontal="center" vertical="center"/>
    </xf>
    <xf numFmtId="0" fontId="95" fillId="0" borderId="0" xfId="0" applyFont="1" applyAlignment="1">
      <alignment horizontal="center" vertical="center"/>
    </xf>
    <xf numFmtId="0" fontId="14" fillId="0" borderId="27" xfId="184" applyFont="1" applyFill="1" applyBorder="1" applyAlignment="1">
      <alignment horizontal="left" vertical="center" wrapText="1"/>
    </xf>
    <xf numFmtId="0" fontId="14" fillId="0" borderId="28" xfId="184" applyFont="1" applyFill="1" applyBorder="1" applyAlignment="1">
      <alignment horizontal="left" vertical="center" wrapText="1"/>
    </xf>
    <xf numFmtId="0" fontId="99" fillId="0" borderId="0" xfId="0" applyFont="1" applyAlignment="1">
      <alignment horizontal="center" vertical="center"/>
    </xf>
    <xf numFmtId="0" fontId="14" fillId="26" borderId="0" xfId="0" applyFont="1" applyFill="1" applyAlignment="1">
      <alignment horizontal="center" vertical="center" wrapText="1"/>
    </xf>
    <xf numFmtId="0" fontId="19" fillId="0" borderId="22" xfId="200" applyFont="1" applyBorder="1" applyAlignment="1">
      <alignment horizontal="center" vertical="center" wrapText="1"/>
    </xf>
    <xf numFmtId="0" fontId="19" fillId="0" borderId="24" xfId="200" applyFont="1" applyBorder="1" applyAlignment="1">
      <alignment horizontal="center" vertical="center" wrapText="1"/>
    </xf>
    <xf numFmtId="0" fontId="19" fillId="0" borderId="20" xfId="200" applyFont="1" applyBorder="1" applyAlignment="1">
      <alignment horizontal="center" vertical="center" wrapText="1"/>
    </xf>
    <xf numFmtId="0" fontId="98" fillId="0" borderId="0" xfId="0" applyFont="1" applyFill="1" applyBorder="1" applyAlignment="1">
      <alignment horizontal="center" vertical="center" wrapText="1"/>
    </xf>
    <xf numFmtId="0" fontId="20" fillId="0" borderId="0" xfId="200" applyFont="1" applyBorder="1" applyAlignment="1">
      <alignment horizontal="center" vertical="center" wrapText="1"/>
    </xf>
    <xf numFmtId="0" fontId="12" fillId="0" borderId="16" xfId="200" applyFont="1" applyBorder="1" applyAlignment="1">
      <alignment horizontal="center" vertical="center" wrapText="1"/>
    </xf>
    <xf numFmtId="0" fontId="21" fillId="0" borderId="0" xfId="200" applyFont="1" applyBorder="1" applyAlignment="1">
      <alignment horizontal="center" vertical="center" wrapText="1"/>
    </xf>
    <xf numFmtId="0" fontId="4" fillId="0" borderId="0" xfId="0" applyFont="1" applyAlignment="1">
      <alignment horizont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29" xfId="0" applyFont="1" applyBorder="1" applyAlignment="1">
      <alignment horizontal="center" vertical="center" wrapText="1"/>
    </xf>
    <xf numFmtId="0" fontId="132" fillId="0" borderId="0" xfId="0" applyFont="1" applyFill="1" applyAlignment="1">
      <alignment horizontal="center" vertical="center" wrapText="1"/>
    </xf>
    <xf numFmtId="0" fontId="136" fillId="0" borderId="16" xfId="0" applyFont="1" applyFill="1" applyBorder="1" applyAlignment="1">
      <alignment horizontal="center" vertical="center" wrapText="1"/>
    </xf>
    <xf numFmtId="0" fontId="132" fillId="0" borderId="10" xfId="0" applyFont="1" applyFill="1" applyBorder="1" applyAlignment="1">
      <alignment horizontal="center" vertical="center" wrapText="1"/>
    </xf>
    <xf numFmtId="0" fontId="132" fillId="0" borderId="0" xfId="0" applyFont="1" applyFill="1" applyBorder="1" applyAlignment="1">
      <alignment horizontal="center" vertical="center" wrapText="1"/>
    </xf>
    <xf numFmtId="0" fontId="134" fillId="0" borderId="22" xfId="0" applyFont="1" applyBorder="1" applyAlignment="1">
      <alignment horizontal="center" vertical="center" wrapText="1"/>
    </xf>
    <xf numFmtId="0" fontId="134" fillId="0" borderId="20" xfId="0" applyFont="1" applyBorder="1" applyAlignment="1">
      <alignment horizontal="center" vertical="center" wrapText="1"/>
    </xf>
    <xf numFmtId="0" fontId="143" fillId="0" borderId="0" xfId="0" applyFont="1" applyFill="1" applyAlignment="1">
      <alignment horizontal="center" vertical="center" wrapText="1"/>
    </xf>
    <xf numFmtId="0" fontId="143" fillId="0" borderId="0" xfId="0" applyFont="1" applyAlignment="1">
      <alignment horizontal="center" vertical="center"/>
    </xf>
    <xf numFmtId="0" fontId="134" fillId="0" borderId="10" xfId="0" applyFont="1" applyBorder="1" applyAlignment="1">
      <alignment horizontal="center" vertical="center" wrapText="1"/>
    </xf>
    <xf numFmtId="166" fontId="134" fillId="0" borderId="10" xfId="94" applyNumberFormat="1" applyFont="1" applyBorder="1" applyAlignment="1">
      <alignment horizontal="center" vertical="center" wrapText="1"/>
    </xf>
    <xf numFmtId="0" fontId="134" fillId="0" borderId="25" xfId="0" applyFont="1" applyBorder="1" applyAlignment="1">
      <alignment horizontal="center" vertical="center" wrapText="1"/>
    </xf>
    <xf numFmtId="0" fontId="134" fillId="0" borderId="9" xfId="0" applyFont="1" applyBorder="1" applyAlignment="1">
      <alignment horizontal="center" vertical="center" wrapText="1"/>
    </xf>
    <xf numFmtId="0" fontId="134" fillId="0" borderId="26" xfId="0" applyFont="1" applyBorder="1" applyAlignment="1">
      <alignment horizontal="center" vertical="center" wrapText="1"/>
    </xf>
    <xf numFmtId="0" fontId="147" fillId="0" borderId="0" xfId="0" applyFont="1" applyBorder="1" applyAlignment="1">
      <alignment horizontal="center" vertical="top" wrapText="1"/>
    </xf>
    <xf numFmtId="0" fontId="136" fillId="0" borderId="16" xfId="0" applyFont="1" applyBorder="1" applyAlignment="1">
      <alignment horizontal="center" vertical="center" wrapText="1"/>
    </xf>
    <xf numFmtId="0" fontId="144" fillId="0" borderId="0" xfId="0" applyFont="1" applyAlignment="1">
      <alignment horizontal="center"/>
    </xf>
    <xf numFmtId="3" fontId="136" fillId="0" borderId="16" xfId="0" applyNumberFormat="1" applyFont="1" applyBorder="1" applyAlignment="1">
      <alignment horizontal="center" vertical="center" wrapText="1"/>
    </xf>
    <xf numFmtId="0" fontId="131" fillId="0" borderId="0" xfId="0" applyFont="1" applyAlignment="1">
      <alignment horizontal="left" vertical="center" wrapText="1"/>
    </xf>
    <xf numFmtId="0" fontId="148" fillId="0" borderId="0" xfId="0" applyFont="1" applyAlignment="1">
      <alignment horizontal="center" vertical="center" wrapText="1"/>
    </xf>
    <xf numFmtId="0" fontId="144" fillId="0" borderId="0" xfId="0" applyFont="1" applyAlignment="1">
      <alignment horizontal="center" vertical="center" wrapText="1"/>
    </xf>
    <xf numFmtId="0" fontId="149" fillId="0" borderId="0" xfId="0" applyFont="1" applyBorder="1" applyAlignment="1">
      <alignment horizontal="left"/>
    </xf>
    <xf numFmtId="0" fontId="131" fillId="0" borderId="0" xfId="0" applyFont="1" applyBorder="1" applyAlignment="1">
      <alignment horizontal="left"/>
    </xf>
    <xf numFmtId="0" fontId="132" fillId="0" borderId="10" xfId="0" applyFont="1" applyBorder="1" applyAlignment="1">
      <alignment horizontal="center" vertical="center" wrapText="1"/>
    </xf>
    <xf numFmtId="0" fontId="132" fillId="0" borderId="22" xfId="0" applyFont="1" applyBorder="1" applyAlignment="1">
      <alignment horizontal="center" vertical="center" wrapText="1"/>
    </xf>
    <xf numFmtId="0" fontId="132" fillId="0" borderId="20" xfId="0" applyFont="1" applyBorder="1" applyAlignment="1">
      <alignment horizontal="center" vertical="center" wrapText="1"/>
    </xf>
    <xf numFmtId="0" fontId="131" fillId="0" borderId="0" xfId="0" applyFont="1" applyFill="1" applyBorder="1" applyAlignment="1">
      <alignment horizontal="left" vertical="center" wrapText="1"/>
    </xf>
    <xf numFmtId="0" fontId="131" fillId="0" borderId="0" xfId="0" applyFont="1" applyAlignment="1">
      <alignment horizontal="left" wrapText="1"/>
    </xf>
    <xf numFmtId="3" fontId="138" fillId="0" borderId="0" xfId="0" applyNumberFormat="1" applyFont="1" applyAlignment="1">
      <alignment horizontal="center" vertical="center"/>
    </xf>
    <xf numFmtId="3" fontId="138" fillId="0" borderId="0" xfId="0" applyNumberFormat="1" applyFont="1" applyAlignment="1">
      <alignment horizontal="center" vertical="center" wrapText="1"/>
    </xf>
    <xf numFmtId="3" fontId="130" fillId="0" borderId="0" xfId="0" applyNumberFormat="1" applyFont="1" applyAlignment="1">
      <alignment horizontal="center" vertical="center" wrapText="1"/>
    </xf>
    <xf numFmtId="3" fontId="145" fillId="0" borderId="10" xfId="0" applyNumberFormat="1" applyFont="1" applyBorder="1" applyAlignment="1">
      <alignment horizontal="center" vertical="center" wrapText="1"/>
    </xf>
    <xf numFmtId="3" fontId="120" fillId="0" borderId="22" xfId="211" applyNumberFormat="1" applyFont="1" applyFill="1" applyBorder="1" applyAlignment="1">
      <alignment horizontal="center" vertical="center" wrapText="1"/>
    </xf>
    <xf numFmtId="3" fontId="120" fillId="0" borderId="20" xfId="211" applyNumberFormat="1" applyFont="1" applyFill="1" applyBorder="1" applyAlignment="1">
      <alignment horizontal="center" vertical="center" wrapText="1"/>
    </xf>
    <xf numFmtId="3" fontId="120" fillId="0" borderId="10" xfId="211" applyNumberFormat="1" applyFont="1" applyFill="1" applyBorder="1" applyAlignment="1">
      <alignment horizontal="center" vertical="center" wrapText="1"/>
    </xf>
    <xf numFmtId="0" fontId="14" fillId="0" borderId="0" xfId="211" applyFont="1" applyFill="1" applyBorder="1" applyAlignment="1">
      <alignment horizontal="center" vertical="center" wrapText="1"/>
    </xf>
    <xf numFmtId="3" fontId="10" fillId="0" borderId="0" xfId="211" applyNumberFormat="1" applyFont="1" applyFill="1" applyAlignment="1">
      <alignment horizontal="center" vertical="center" wrapText="1"/>
    </xf>
    <xf numFmtId="0" fontId="120" fillId="0" borderId="10" xfId="211" applyFont="1" applyFill="1" applyBorder="1" applyAlignment="1">
      <alignment horizontal="center" vertical="center" wrapText="1"/>
    </xf>
    <xf numFmtId="3" fontId="10" fillId="0" borderId="22" xfId="211" applyNumberFormat="1" applyFont="1" applyFill="1" applyBorder="1" applyAlignment="1">
      <alignment horizontal="center" vertical="center" wrapText="1"/>
    </xf>
    <xf numFmtId="3" fontId="10" fillId="0" borderId="20" xfId="211" applyNumberFormat="1" applyFont="1" applyFill="1" applyBorder="1" applyAlignment="1">
      <alignment horizontal="center" vertical="center" wrapText="1"/>
    </xf>
  </cellXfs>
  <cellStyles count="275">
    <cellStyle name="??" xfId="1"/>
    <cellStyle name="?? [0.00]_PRODUCT DETAIL Q1" xfId="2"/>
    <cellStyle name="?? [0]" xfId="3"/>
    <cellStyle name="???? [0.00]_PRODUCT DETAIL Q1" xfId="4"/>
    <cellStyle name="????_PRODUCT DETAIL Q1" xfId="5"/>
    <cellStyle name="???[0]_Book1" xfId="6"/>
    <cellStyle name="???_95" xfId="7"/>
    <cellStyle name="??[0]_BRE" xfId="8"/>
    <cellStyle name="??_ Att. 1- Cover" xfId="9"/>
    <cellStyle name="•W_’·Šú‰p•¶" xfId="10"/>
    <cellStyle name="1" xfId="11"/>
    <cellStyle name="1_Cau thuy dien Ban La (Cu Anh)" xfId="12"/>
    <cellStyle name="1_Cau thuy dien Ban La (Cu Anh) 2" xfId="13"/>
    <cellStyle name="1_Du toan 558 (Km17+508.12 - Km 22)" xfId="14"/>
    <cellStyle name="1_Du toan 558 (Km17+508.12 - Km 22) 2" xfId="15"/>
    <cellStyle name="1_ÿÿÿÿÿ" xfId="16"/>
    <cellStyle name="2" xfId="17"/>
    <cellStyle name="2_Cau thuy dien Ban La (Cu Anh)" xfId="18"/>
    <cellStyle name="2_Cau thuy dien Ban La (Cu Anh) 2" xfId="19"/>
    <cellStyle name="2_Du toan 558 (Km17+508.12 - Km 22)" xfId="20"/>
    <cellStyle name="2_Du toan 558 (Km17+508.12 - Km 22) 2" xfId="21"/>
    <cellStyle name="2_ÿÿÿÿÿ" xfId="22"/>
    <cellStyle name="20% - Accent1 2" xfId="23"/>
    <cellStyle name="20% - Accent2 2" xfId="24"/>
    <cellStyle name="20% - Accent3 2" xfId="25"/>
    <cellStyle name="20% - Accent4 2" xfId="26"/>
    <cellStyle name="20% - Accent5 2" xfId="27"/>
    <cellStyle name="20% - Accent6 2" xfId="28"/>
    <cellStyle name="20% - Nhấn1" xfId="29"/>
    <cellStyle name="20% - Nhấn2" xfId="30"/>
    <cellStyle name="20% - Nhấn3" xfId="31"/>
    <cellStyle name="20% - Nhấn4" xfId="32"/>
    <cellStyle name="20% - Nhấn5" xfId="33"/>
    <cellStyle name="20% - Nhấn6" xfId="34"/>
    <cellStyle name="3" xfId="35"/>
    <cellStyle name="3_Cau thuy dien Ban La (Cu Anh)" xfId="36"/>
    <cellStyle name="3_Cau thuy dien Ban La (Cu Anh) 2" xfId="37"/>
    <cellStyle name="3_Du toan 558 (Km17+508.12 - Km 22)" xfId="38"/>
    <cellStyle name="3_Du toan 558 (Km17+508.12 - Km 22) 2" xfId="39"/>
    <cellStyle name="3_ÿÿÿÿÿ" xfId="40"/>
    <cellStyle name="4" xfId="41"/>
    <cellStyle name="4_Cau thuy dien Ban La (Cu Anh)" xfId="42"/>
    <cellStyle name="4_Cau thuy dien Ban La (Cu Anh) 2" xfId="43"/>
    <cellStyle name="4_Du toan 558 (Km17+508.12 - Km 22)" xfId="44"/>
    <cellStyle name="4_Du toan 558 (Km17+508.12 - Km 22) 2" xfId="45"/>
    <cellStyle name="4_ÿÿÿÿÿ" xfId="46"/>
    <cellStyle name="40% - Accent1 2" xfId="47"/>
    <cellStyle name="40% - Accent2 2" xfId="48"/>
    <cellStyle name="40% - Accent3 2" xfId="49"/>
    <cellStyle name="40% - Accent4 2" xfId="50"/>
    <cellStyle name="40% - Accent5 2" xfId="51"/>
    <cellStyle name="40% - Accent6 2" xfId="52"/>
    <cellStyle name="40% - Nhấn1" xfId="53"/>
    <cellStyle name="40% - Nhấn2" xfId="54"/>
    <cellStyle name="40% - Nhấn3" xfId="55"/>
    <cellStyle name="40% - Nhấn4" xfId="56"/>
    <cellStyle name="40% - Nhấn5" xfId="57"/>
    <cellStyle name="40% - Nhấn6" xfId="58"/>
    <cellStyle name="60% - Accent1 2" xfId="59"/>
    <cellStyle name="60% - Accent2 2" xfId="60"/>
    <cellStyle name="60% - Accent3 2" xfId="61"/>
    <cellStyle name="60% - Accent4 2" xfId="62"/>
    <cellStyle name="60% - Accent5 2" xfId="63"/>
    <cellStyle name="60% - Accent6 2" xfId="64"/>
    <cellStyle name="60% - Nhấn1" xfId="65"/>
    <cellStyle name="60% - Nhấn2" xfId="66"/>
    <cellStyle name="60% - Nhấn3" xfId="67"/>
    <cellStyle name="60% - Nhấn4" xfId="68"/>
    <cellStyle name="60% - Nhấn5" xfId="69"/>
    <cellStyle name="60% - Nhấn6" xfId="70"/>
    <cellStyle name="Accent1 2" xfId="71"/>
    <cellStyle name="Accent2 2" xfId="72"/>
    <cellStyle name="Accent3 2" xfId="73"/>
    <cellStyle name="Accent4 2" xfId="74"/>
    <cellStyle name="Accent5 2" xfId="75"/>
    <cellStyle name="Accent6 2" xfId="76"/>
    <cellStyle name="AeE­ [0]_INQUIRY ¿μ¾÷AßAø " xfId="77"/>
    <cellStyle name="ÅëÈ­ [0]_S" xfId="78"/>
    <cellStyle name="AeE­_INQUIRY ¿μ¾÷AßAø " xfId="79"/>
    <cellStyle name="ÅëÈ­_S" xfId="80"/>
    <cellStyle name="AÞ¸¶ [0]_INQUIRY ¿?¾÷AßAø " xfId="81"/>
    <cellStyle name="ÄÞ¸¶ [0]_S" xfId="82"/>
    <cellStyle name="AÞ¸¶_INQUIRY ¿?¾÷AßAø " xfId="83"/>
    <cellStyle name="ÄÞ¸¶_S" xfId="84"/>
    <cellStyle name="Bad 2" xfId="85"/>
    <cellStyle name="C?AØ_¿?¾÷CoE² " xfId="86"/>
    <cellStyle name="C￥AØ_¿μ¾÷CoE² " xfId="87"/>
    <cellStyle name="Ç¥ÁØ_S" xfId="88"/>
    <cellStyle name="C￥AØ_Sheet1_¿μ¾÷CoE² " xfId="89"/>
    <cellStyle name="Calc Currency (0)" xfId="90"/>
    <cellStyle name="Calc Currency (0) 2" xfId="91"/>
    <cellStyle name="Calculation 2" xfId="92"/>
    <cellStyle name="Check Cell 2" xfId="93"/>
    <cellStyle name="Comma" xfId="94" builtinId="3"/>
    <cellStyle name="Comma [0] 2" xfId="95"/>
    <cellStyle name="Comma [0] 3" xfId="96"/>
    <cellStyle name="Comma [0] 4" xfId="97"/>
    <cellStyle name="Comma [0] 5" xfId="98"/>
    <cellStyle name="Comma [0] 6" xfId="99"/>
    <cellStyle name="Comma 10" xfId="100"/>
    <cellStyle name="Comma 11" xfId="101"/>
    <cellStyle name="Comma 12" xfId="102"/>
    <cellStyle name="Comma 13" xfId="103"/>
    <cellStyle name="Comma 14" xfId="104"/>
    <cellStyle name="Comma 14 2" xfId="105"/>
    <cellStyle name="Comma 15" xfId="106"/>
    <cellStyle name="Comma 16" xfId="107"/>
    <cellStyle name="Comma 17" xfId="108"/>
    <cellStyle name="Comma 17 2" xfId="109"/>
    <cellStyle name="Comma 17 2 2" xfId="110"/>
    <cellStyle name="Comma 17 2 3" xfId="111"/>
    <cellStyle name="Comma 18" xfId="112"/>
    <cellStyle name="Comma 18 2" xfId="113"/>
    <cellStyle name="Comma 19" xfId="114"/>
    <cellStyle name="Comma 2" xfId="115"/>
    <cellStyle name="Comma 2 2" xfId="116"/>
    <cellStyle name="Comma 2 3" xfId="117"/>
    <cellStyle name="Comma 2 4" xfId="118"/>
    <cellStyle name="Comma 2 5" xfId="119"/>
    <cellStyle name="Comma 20" xfId="120"/>
    <cellStyle name="Comma 21" xfId="121"/>
    <cellStyle name="Comma 22" xfId="122"/>
    <cellStyle name="Comma 23" xfId="123"/>
    <cellStyle name="Comma 24" xfId="124"/>
    <cellStyle name="Comma 24 2" xfId="125"/>
    <cellStyle name="Comma 24 3" xfId="126"/>
    <cellStyle name="Comma 3" xfId="127"/>
    <cellStyle name="Comma 3 2" xfId="128"/>
    <cellStyle name="Comma 3 2 2" xfId="129"/>
    <cellStyle name="Comma 3 2 3" xfId="130"/>
    <cellStyle name="Comma 4" xfId="131"/>
    <cellStyle name="Comma 4 2" xfId="132"/>
    <cellStyle name="Comma 5" xfId="133"/>
    <cellStyle name="Comma 5 2" xfId="134"/>
    <cellStyle name="Comma 6" xfId="135"/>
    <cellStyle name="Comma 6 2" xfId="136"/>
    <cellStyle name="Comma 7" xfId="137"/>
    <cellStyle name="Comma 8" xfId="138"/>
    <cellStyle name="Comma 9" xfId="139"/>
    <cellStyle name="Comma0" xfId="140"/>
    <cellStyle name="Currency 2" xfId="141"/>
    <cellStyle name="Currency0" xfId="142"/>
    <cellStyle name="Date" xfId="143"/>
    <cellStyle name="Đầu ra" xfId="144"/>
    <cellStyle name="Đầu vào" xfId="145"/>
    <cellStyle name="Đề mục 1" xfId="146"/>
    <cellStyle name="Đề mục 2" xfId="147"/>
    <cellStyle name="Đề mục 3" xfId="148"/>
    <cellStyle name="Đề mục 4" xfId="149"/>
    <cellStyle name="Explanatory Text 2" xfId="150"/>
    <cellStyle name="Fixed" xfId="151"/>
    <cellStyle name="Ghi chú" xfId="152"/>
    <cellStyle name="Good 2" xfId="153"/>
    <cellStyle name="Grey" xfId="154"/>
    <cellStyle name="Header1" xfId="155"/>
    <cellStyle name="Header2" xfId="156"/>
    <cellStyle name="Heading 1 2" xfId="157"/>
    <cellStyle name="Heading 1 3" xfId="158"/>
    <cellStyle name="Heading 2 2" xfId="159"/>
    <cellStyle name="Heading 2 3" xfId="160"/>
    <cellStyle name="Heading 3 2" xfId="161"/>
    <cellStyle name="Heading 4 2" xfId="162"/>
    <cellStyle name="Hoa-Scholl" xfId="163"/>
    <cellStyle name="Input [yellow]" xfId="164"/>
    <cellStyle name="Input 2" xfId="165"/>
    <cellStyle name="Kiểm tra Ô" xfId="166"/>
    <cellStyle name="Ledger 17 x 11 in" xfId="167"/>
    <cellStyle name="Linked Cell 2" xfId="168"/>
    <cellStyle name="moi" xfId="169"/>
    <cellStyle name="moi 2" xfId="170"/>
    <cellStyle name="n" xfId="171"/>
    <cellStyle name="Neutral 2" xfId="172"/>
    <cellStyle name="Nhấn1" xfId="173"/>
    <cellStyle name="Nhấn2" xfId="174"/>
    <cellStyle name="Nhấn3" xfId="175"/>
    <cellStyle name="Nhấn4" xfId="176"/>
    <cellStyle name="Nhấn5" xfId="177"/>
    <cellStyle name="Nhấn6" xfId="178"/>
    <cellStyle name="Normal" xfId="0" builtinId="0"/>
    <cellStyle name="Normal - Style1" xfId="179"/>
    <cellStyle name="Normal - Style1 2" xfId="180"/>
    <cellStyle name="Normal 10" xfId="181"/>
    <cellStyle name="Normal 11" xfId="182"/>
    <cellStyle name="Normal 12" xfId="183"/>
    <cellStyle name="Normal 13" xfId="184"/>
    <cellStyle name="Normal 14" xfId="185"/>
    <cellStyle name="Normal 15" xfId="186"/>
    <cellStyle name="Normal 16" xfId="187"/>
    <cellStyle name="Normal 17" xfId="188"/>
    <cellStyle name="Normal 18" xfId="189"/>
    <cellStyle name="Normal 18 2" xfId="190"/>
    <cellStyle name="Normal 19" xfId="191"/>
    <cellStyle name="Normal 19 2" xfId="192"/>
    <cellStyle name="Normal 2" xfId="193"/>
    <cellStyle name="Normal 2 2" xfId="194"/>
    <cellStyle name="Normal 2 2 2 2" xfId="195"/>
    <cellStyle name="Normal 2 3" xfId="196"/>
    <cellStyle name="Normal 2 4" xfId="197"/>
    <cellStyle name="Normal 2 5" xfId="198"/>
    <cellStyle name="Normal 2_Baocao xay dung Nong Thon Moi nam  2013" xfId="199"/>
    <cellStyle name="Normal 20" xfId="200"/>
    <cellStyle name="Normal 20 2" xfId="201"/>
    <cellStyle name="Normal 20 3" xfId="202"/>
    <cellStyle name="Normal 20_16.4.13. QD Phan bo Von NTM 2016 (PL)" xfId="203"/>
    <cellStyle name="Normal 21" xfId="204"/>
    <cellStyle name="Normal 22" xfId="205"/>
    <cellStyle name="Normal 23" xfId="206"/>
    <cellStyle name="Normal 23 2" xfId="207"/>
    <cellStyle name="Normal 23 3" xfId="208"/>
    <cellStyle name="Normal 23 4" xfId="209"/>
    <cellStyle name="Normal 24" xfId="210"/>
    <cellStyle name="Normal 24_phu luc ngay 11.4.2016 co TPCP gui UBND tinh kem theo cv so 90 VPDP" xfId="211"/>
    <cellStyle name="Normal 3" xfId="212"/>
    <cellStyle name="Normal 3 2" xfId="213"/>
    <cellStyle name="Normal 3 3" xfId="214"/>
    <cellStyle name="Normal 3 4" xfId="215"/>
    <cellStyle name="Normal 3 4 2" xfId="216"/>
    <cellStyle name="Normal 3 4 3" xfId="217"/>
    <cellStyle name="Normal 3 4_16.4.13. QD Phan bo Von NTM 2016 (PL)" xfId="218"/>
    <cellStyle name="Normal 4" xfId="219"/>
    <cellStyle name="Normal 4 2" xfId="220"/>
    <cellStyle name="Normal 4 3" xfId="221"/>
    <cellStyle name="Normal 4_16.4.13. QD Phan bo Von NTM 2016 (PL)" xfId="222"/>
    <cellStyle name="Normal 5" xfId="223"/>
    <cellStyle name="Normal 5 2" xfId="224"/>
    <cellStyle name="Normal 6" xfId="225"/>
    <cellStyle name="Normal 7" xfId="226"/>
    <cellStyle name="Normal 8" xfId="227"/>
    <cellStyle name="Normal 9" xfId="228"/>
    <cellStyle name="Normal 9 2" xfId="229"/>
    <cellStyle name="Normal1" xfId="230"/>
    <cellStyle name="Note 2" xfId="231"/>
    <cellStyle name="Ô Được nối kết" xfId="232"/>
    <cellStyle name="Output 2" xfId="233"/>
    <cellStyle name="Percent [2]" xfId="234"/>
    <cellStyle name="Percent [2] 2" xfId="235"/>
    <cellStyle name="Percent 10" xfId="236"/>
    <cellStyle name="Percent 2" xfId="237"/>
    <cellStyle name="Percent 3" xfId="238"/>
    <cellStyle name="Percent 4" xfId="239"/>
    <cellStyle name="Percent 4 2" xfId="240"/>
    <cellStyle name="Percent 5" xfId="241"/>
    <cellStyle name="Tiêu đề" xfId="242"/>
    <cellStyle name="Tính toán" xfId="243"/>
    <cellStyle name="Title 2" xfId="244"/>
    <cellStyle name="Tổng" xfId="245"/>
    <cellStyle name="Tốt" xfId="246"/>
    <cellStyle name="Total 2" xfId="247"/>
    <cellStyle name="Total 3" xfId="248"/>
    <cellStyle name="Trung tính" xfId="249"/>
    <cellStyle name="Văn bản Cảnh báo" xfId="250"/>
    <cellStyle name="Văn bản Giải thích" xfId="251"/>
    <cellStyle name="Warning Text 2" xfId="252"/>
    <cellStyle name="Xấu" xfId="253"/>
    <cellStyle name="xuan" xfId="254"/>
    <cellStyle name=" [0.00]_ Att. 1- Cover" xfId="255"/>
    <cellStyle name="_ Att. 1- Cover" xfId="256"/>
    <cellStyle name="?_ Att. 1- Cover" xfId="257"/>
    <cellStyle name="똿뗦먛귟 [0.00]_PRODUCT DETAIL Q1" xfId="258"/>
    <cellStyle name="똿뗦먛귟_PRODUCT DETAIL Q1" xfId="259"/>
    <cellStyle name="믅됞 [0.00]_PRODUCT DETAIL Q1" xfId="260"/>
    <cellStyle name="믅됞_PRODUCT DETAIL Q1" xfId="261"/>
    <cellStyle name="백분율_95" xfId="262"/>
    <cellStyle name="뷭?_BOOKSHIP" xfId="263"/>
    <cellStyle name="콤마 [0]_1202" xfId="264"/>
    <cellStyle name="콤마_1202" xfId="265"/>
    <cellStyle name="통화 [0]_1202" xfId="266"/>
    <cellStyle name="통화_1202" xfId="267"/>
    <cellStyle name="표준_(정보부문)월별인원계획" xfId="268"/>
    <cellStyle name="一般_00Q3902REV.1" xfId="269"/>
    <cellStyle name="千分位[0]_00Q3902REV.1" xfId="270"/>
    <cellStyle name="千分位_00Q3902REV.1" xfId="271"/>
    <cellStyle name="貨幣 [0]_00Q3902REV.1" xfId="272"/>
    <cellStyle name="貨幣[0]_BRE" xfId="273"/>
    <cellStyle name="貨幣_00Q3902REV.1" xfId="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 luc 1"/>
      <sheetName val="Phu luc 2"/>
    </sheetNames>
    <sheetDataSet>
      <sheetData sheetId="0"/>
      <sheetData sheetId="1">
        <row r="20">
          <cell r="G20">
            <v>3485</v>
          </cell>
          <cell r="H20">
            <v>25300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8"/>
  <sheetViews>
    <sheetView workbookViewId="0">
      <selection activeCell="X4" sqref="X4"/>
    </sheetView>
  </sheetViews>
  <sheetFormatPr defaultRowHeight="15"/>
  <cols>
    <col min="1" max="1" width="0.42578125" customWidth="1"/>
    <col min="2" max="2" width="4.7109375" customWidth="1"/>
    <col min="3" max="4" width="0.85546875" customWidth="1"/>
    <col min="5" max="6" width="1" customWidth="1"/>
    <col min="7" max="8" width="0.7109375" customWidth="1"/>
    <col min="9" max="9" width="0.85546875" customWidth="1"/>
    <col min="10" max="13" width="0.7109375" customWidth="1"/>
    <col min="14" max="14" width="1.140625" customWidth="1"/>
    <col min="15" max="15" width="1.7109375" customWidth="1"/>
    <col min="16" max="16" width="1" customWidth="1"/>
    <col min="17" max="17" width="0.85546875" customWidth="1"/>
    <col min="18" max="18" width="0.7109375" customWidth="1"/>
    <col min="19" max="19" width="0.85546875" customWidth="1"/>
    <col min="20" max="20" width="0.7109375" customWidth="1"/>
    <col min="21" max="21" width="1.42578125" customWidth="1"/>
    <col min="22" max="23" width="0" hidden="1" customWidth="1"/>
  </cols>
  <sheetData>
    <row r="1" spans="1:21" ht="10.5" customHeight="1">
      <c r="A1" s="387"/>
      <c r="B1" s="387"/>
      <c r="C1" s="387"/>
      <c r="D1" s="387"/>
      <c r="E1" s="387"/>
      <c r="F1" s="387"/>
      <c r="G1" s="387"/>
      <c r="H1" s="387"/>
      <c r="I1" s="387"/>
      <c r="J1" s="387"/>
      <c r="K1" s="387"/>
      <c r="L1" s="387"/>
      <c r="M1" s="387"/>
      <c r="N1" s="387"/>
      <c r="O1" s="387"/>
      <c r="P1" s="387"/>
      <c r="Q1" s="387"/>
      <c r="R1" s="387"/>
      <c r="S1" s="387"/>
      <c r="T1" s="387"/>
      <c r="U1" s="387"/>
    </row>
    <row r="2" spans="1:21" ht="19.5" customHeight="1">
      <c r="A2" s="393" t="s">
        <v>82</v>
      </c>
      <c r="B2" s="393"/>
      <c r="C2" s="393"/>
      <c r="D2" s="393"/>
      <c r="E2" s="393"/>
      <c r="F2" s="393"/>
      <c r="G2" s="393"/>
      <c r="H2" s="393"/>
      <c r="I2" s="393"/>
      <c r="J2" s="393"/>
      <c r="K2" s="393"/>
      <c r="L2" s="393"/>
      <c r="M2" s="393"/>
      <c r="N2" s="393"/>
      <c r="O2" s="393"/>
      <c r="P2" s="393"/>
      <c r="Q2" s="393"/>
      <c r="R2" s="393"/>
      <c r="S2" s="393"/>
      <c r="T2" s="393"/>
      <c r="U2" s="393"/>
    </row>
    <row r="3" spans="1:21" ht="9.75" customHeight="1">
      <c r="A3" s="388"/>
      <c r="B3" s="388"/>
      <c r="C3" s="388"/>
      <c r="D3" s="388"/>
      <c r="E3" s="388"/>
      <c r="F3" s="388"/>
      <c r="G3" s="388"/>
      <c r="H3" s="388"/>
      <c r="I3" s="388"/>
      <c r="J3" s="388"/>
      <c r="K3" s="388"/>
      <c r="L3" s="388"/>
      <c r="M3" s="388"/>
      <c r="N3" s="388"/>
      <c r="O3" s="388"/>
      <c r="P3" s="388"/>
      <c r="Q3" s="388"/>
      <c r="R3" s="388"/>
      <c r="S3" s="388"/>
      <c r="T3" s="388"/>
      <c r="U3" s="388"/>
    </row>
    <row r="4" spans="1:21" ht="15.75" customHeight="1">
      <c r="A4" s="9"/>
      <c r="B4" s="9"/>
      <c r="C4" s="9"/>
      <c r="D4" s="9"/>
      <c r="E4" s="9"/>
      <c r="F4" s="9"/>
      <c r="G4" s="174"/>
      <c r="H4" s="174"/>
      <c r="I4" s="30"/>
      <c r="J4" s="175"/>
      <c r="K4" s="175"/>
      <c r="L4" s="175"/>
      <c r="M4" s="175"/>
      <c r="N4" s="175"/>
      <c r="O4" s="175"/>
      <c r="P4" s="175"/>
      <c r="Q4" s="392" t="s">
        <v>71</v>
      </c>
      <c r="R4" s="392"/>
      <c r="S4" s="392"/>
      <c r="T4" s="392"/>
      <c r="U4" s="392"/>
    </row>
    <row r="5" spans="1:21" ht="26.25" customHeight="1">
      <c r="A5" s="394" t="s">
        <v>148</v>
      </c>
      <c r="B5" s="394" t="s">
        <v>168</v>
      </c>
      <c r="C5" s="383" t="s">
        <v>154</v>
      </c>
      <c r="D5" s="383" t="s">
        <v>70</v>
      </c>
      <c r="E5" s="383"/>
      <c r="F5" s="383"/>
      <c r="G5" s="384" t="s">
        <v>69</v>
      </c>
      <c r="H5" s="385"/>
      <c r="I5" s="385"/>
      <c r="J5" s="385"/>
      <c r="K5" s="385"/>
      <c r="L5" s="385"/>
      <c r="M5" s="385"/>
      <c r="N5" s="385"/>
      <c r="O5" s="385"/>
      <c r="P5" s="385"/>
      <c r="Q5" s="385"/>
      <c r="R5" s="385"/>
      <c r="S5" s="385"/>
      <c r="T5" s="385"/>
      <c r="U5" s="386"/>
    </row>
    <row r="6" spans="1:21" ht="15" customHeight="1">
      <c r="A6" s="395"/>
      <c r="B6" s="395"/>
      <c r="C6" s="383"/>
      <c r="D6" s="381" t="s">
        <v>152</v>
      </c>
      <c r="E6" s="381" t="s">
        <v>124</v>
      </c>
      <c r="F6" s="381" t="s">
        <v>177</v>
      </c>
      <c r="G6" s="381" t="s">
        <v>151</v>
      </c>
      <c r="H6" s="381" t="s">
        <v>125</v>
      </c>
      <c r="I6" s="389" t="s">
        <v>8</v>
      </c>
      <c r="J6" s="390"/>
      <c r="K6" s="390"/>
      <c r="L6" s="390"/>
      <c r="M6" s="391"/>
      <c r="N6" s="381" t="s">
        <v>9</v>
      </c>
      <c r="O6" s="381" t="s">
        <v>10</v>
      </c>
      <c r="P6" s="381" t="s">
        <v>37</v>
      </c>
      <c r="Q6" s="381" t="s">
        <v>178</v>
      </c>
      <c r="R6" s="381" t="s">
        <v>11</v>
      </c>
      <c r="S6" s="381" t="s">
        <v>67</v>
      </c>
      <c r="T6" s="381" t="s">
        <v>126</v>
      </c>
      <c r="U6" s="381" t="s">
        <v>77</v>
      </c>
    </row>
    <row r="7" spans="1:21" ht="62.25" customHeight="1">
      <c r="A7" s="396"/>
      <c r="B7" s="396"/>
      <c r="C7" s="383"/>
      <c r="D7" s="382"/>
      <c r="E7" s="382"/>
      <c r="F7" s="382"/>
      <c r="G7" s="382"/>
      <c r="H7" s="382"/>
      <c r="I7" s="166" t="s">
        <v>152</v>
      </c>
      <c r="J7" s="166" t="s">
        <v>173</v>
      </c>
      <c r="K7" s="166" t="s">
        <v>174</v>
      </c>
      <c r="L7" s="166" t="s">
        <v>175</v>
      </c>
      <c r="M7" s="166" t="s">
        <v>176</v>
      </c>
      <c r="N7" s="382"/>
      <c r="O7" s="382"/>
      <c r="P7" s="382"/>
      <c r="Q7" s="382"/>
      <c r="R7" s="382"/>
      <c r="S7" s="382"/>
      <c r="T7" s="382"/>
      <c r="U7" s="382"/>
    </row>
    <row r="8" spans="1:21" ht="21.75" customHeight="1">
      <c r="A8" s="167">
        <v>1</v>
      </c>
      <c r="B8" s="168" t="s">
        <v>73</v>
      </c>
      <c r="C8" s="168"/>
      <c r="D8" s="169"/>
      <c r="E8" s="169"/>
      <c r="F8" s="169"/>
      <c r="G8" s="169"/>
      <c r="H8" s="169"/>
      <c r="I8" s="169"/>
      <c r="J8" s="169"/>
      <c r="K8" s="169"/>
      <c r="L8" s="169"/>
      <c r="M8" s="169"/>
      <c r="N8" s="169"/>
      <c r="O8" s="169"/>
      <c r="P8" s="169"/>
      <c r="Q8" s="169"/>
      <c r="R8" s="169"/>
      <c r="S8" s="169"/>
      <c r="T8" s="169"/>
      <c r="U8" s="172"/>
    </row>
    <row r="9" spans="1:21" ht="23.25" customHeight="1">
      <c r="A9" s="167" t="s">
        <v>169</v>
      </c>
      <c r="B9" s="168" t="s">
        <v>74</v>
      </c>
      <c r="C9" s="168"/>
      <c r="D9" s="169"/>
      <c r="E9" s="169"/>
      <c r="F9" s="169"/>
      <c r="G9" s="169"/>
      <c r="H9" s="169"/>
      <c r="I9" s="169"/>
      <c r="J9" s="169"/>
      <c r="K9" s="169"/>
      <c r="L9" s="169"/>
      <c r="M9" s="169"/>
      <c r="N9" s="169"/>
      <c r="O9" s="169"/>
      <c r="P9" s="169"/>
      <c r="Q9" s="169"/>
      <c r="R9" s="169"/>
      <c r="S9" s="169"/>
      <c r="T9" s="169"/>
      <c r="U9" s="172"/>
    </row>
    <row r="10" spans="1:21" ht="25.5" customHeight="1">
      <c r="A10" s="170" t="s">
        <v>160</v>
      </c>
      <c r="B10" s="171" t="s">
        <v>36</v>
      </c>
      <c r="C10" s="168">
        <f>D10+G10</f>
        <v>4061</v>
      </c>
      <c r="D10" s="169">
        <f t="shared" ref="D10:D18" si="0">E10+F10</f>
        <v>3316</v>
      </c>
      <c r="E10" s="172">
        <v>846</v>
      </c>
      <c r="F10" s="172">
        <f>2300+170</f>
        <v>2470</v>
      </c>
      <c r="G10" s="169">
        <f>H10+I10+N10+O10+P10+Q10+R10+S10+T10</f>
        <v>745</v>
      </c>
      <c r="H10" s="172">
        <v>250</v>
      </c>
      <c r="I10" s="172">
        <f>SUM(J10:M10)</f>
        <v>375</v>
      </c>
      <c r="J10" s="172">
        <v>200</v>
      </c>
      <c r="K10" s="172">
        <v>100</v>
      </c>
      <c r="L10" s="172">
        <v>40</v>
      </c>
      <c r="M10" s="173">
        <v>35</v>
      </c>
      <c r="N10" s="173">
        <v>10</v>
      </c>
      <c r="O10" s="173">
        <v>10</v>
      </c>
      <c r="P10" s="173">
        <v>20</v>
      </c>
      <c r="Q10" s="172">
        <v>60</v>
      </c>
      <c r="R10" s="172">
        <f>20</f>
        <v>20</v>
      </c>
      <c r="S10" s="172"/>
      <c r="T10" s="172"/>
      <c r="U10" s="172"/>
    </row>
    <row r="11" spans="1:21" ht="22.5" customHeight="1">
      <c r="A11" s="170" t="s">
        <v>160</v>
      </c>
      <c r="B11" s="171" t="s">
        <v>5</v>
      </c>
      <c r="C11" s="168">
        <f t="shared" ref="C11:C18" si="1">D11+G11</f>
        <v>1150</v>
      </c>
      <c r="D11" s="169">
        <f t="shared" si="0"/>
        <v>405</v>
      </c>
      <c r="E11" s="172">
        <v>405</v>
      </c>
      <c r="F11" s="172"/>
      <c r="G11" s="169">
        <f t="shared" ref="G11:G23" si="2">H11+I11+N11+O11+P11+Q11+R11+S11+T11</f>
        <v>745</v>
      </c>
      <c r="H11" s="172">
        <v>250</v>
      </c>
      <c r="I11" s="172">
        <f>SUM(J11:M11)</f>
        <v>375</v>
      </c>
      <c r="J11" s="172">
        <v>200</v>
      </c>
      <c r="K11" s="172">
        <v>100</v>
      </c>
      <c r="L11" s="172">
        <v>40</v>
      </c>
      <c r="M11" s="172">
        <v>35</v>
      </c>
      <c r="N11" s="172">
        <v>10</v>
      </c>
      <c r="O11" s="172">
        <v>10</v>
      </c>
      <c r="P11" s="172">
        <v>20</v>
      </c>
      <c r="Q11" s="172">
        <v>60</v>
      </c>
      <c r="R11" s="172">
        <f>20</f>
        <v>20</v>
      </c>
      <c r="S11" s="172"/>
      <c r="T11" s="172"/>
      <c r="U11" s="4"/>
    </row>
    <row r="12" spans="1:21" ht="22.5" customHeight="1">
      <c r="A12" s="170" t="s">
        <v>160</v>
      </c>
      <c r="B12" s="171" t="s">
        <v>4</v>
      </c>
      <c r="C12" s="168">
        <f t="shared" si="1"/>
        <v>3876</v>
      </c>
      <c r="D12" s="169">
        <f t="shared" si="0"/>
        <v>3131</v>
      </c>
      <c r="E12" s="172">
        <v>661</v>
      </c>
      <c r="F12" s="172">
        <f>2300+170</f>
        <v>2470</v>
      </c>
      <c r="G12" s="169">
        <f t="shared" si="2"/>
        <v>745</v>
      </c>
      <c r="H12" s="172">
        <v>250</v>
      </c>
      <c r="I12" s="172">
        <f>SUM(J12:M12)</f>
        <v>375</v>
      </c>
      <c r="J12" s="172">
        <v>200</v>
      </c>
      <c r="K12" s="172">
        <v>100</v>
      </c>
      <c r="L12" s="172">
        <v>40</v>
      </c>
      <c r="M12" s="172">
        <v>35</v>
      </c>
      <c r="N12" s="172">
        <v>10</v>
      </c>
      <c r="O12" s="172">
        <v>10</v>
      </c>
      <c r="P12" s="172">
        <v>20</v>
      </c>
      <c r="Q12" s="172">
        <v>60</v>
      </c>
      <c r="R12" s="172">
        <f>20</f>
        <v>20</v>
      </c>
      <c r="S12" s="172"/>
      <c r="T12" s="172"/>
      <c r="U12" s="172"/>
    </row>
    <row r="13" spans="1:21" ht="21.75" customHeight="1">
      <c r="A13" s="167" t="s">
        <v>170</v>
      </c>
      <c r="B13" s="168" t="s">
        <v>72</v>
      </c>
      <c r="C13" s="168"/>
      <c r="D13" s="169"/>
      <c r="E13" s="169"/>
      <c r="F13" s="169"/>
      <c r="G13" s="169"/>
      <c r="H13" s="169"/>
      <c r="I13" s="169"/>
      <c r="J13" s="169"/>
      <c r="K13" s="169"/>
      <c r="L13" s="169"/>
      <c r="M13" s="169"/>
      <c r="N13" s="169"/>
      <c r="O13" s="169"/>
      <c r="P13" s="169"/>
      <c r="Q13" s="169"/>
      <c r="R13" s="169"/>
      <c r="S13" s="169"/>
      <c r="T13" s="169"/>
      <c r="U13" s="172"/>
    </row>
    <row r="14" spans="1:21" ht="27" customHeight="1">
      <c r="A14" s="170" t="s">
        <v>160</v>
      </c>
      <c r="B14" s="171" t="s">
        <v>36</v>
      </c>
      <c r="C14" s="168">
        <f t="shared" si="1"/>
        <v>1178</v>
      </c>
      <c r="D14" s="169">
        <f t="shared" si="0"/>
        <v>823</v>
      </c>
      <c r="E14" s="172">
        <v>823</v>
      </c>
      <c r="F14" s="172"/>
      <c r="G14" s="169">
        <f t="shared" si="2"/>
        <v>355</v>
      </c>
      <c r="H14" s="172">
        <v>160</v>
      </c>
      <c r="I14" s="172">
        <f t="shared" ref="I14:I24" si="3">SUM(J14:M14)</f>
        <v>75</v>
      </c>
      <c r="J14" s="172"/>
      <c r="K14" s="172"/>
      <c r="L14" s="172">
        <v>40</v>
      </c>
      <c r="M14" s="172">
        <v>35</v>
      </c>
      <c r="N14" s="172">
        <v>10</v>
      </c>
      <c r="O14" s="172">
        <v>10</v>
      </c>
      <c r="P14" s="172">
        <v>20</v>
      </c>
      <c r="Q14" s="172">
        <v>60</v>
      </c>
      <c r="R14" s="172">
        <f>20</f>
        <v>20</v>
      </c>
      <c r="S14" s="172"/>
      <c r="T14" s="172"/>
      <c r="U14" s="172"/>
    </row>
    <row r="15" spans="1:21" ht="22.5" customHeight="1">
      <c r="A15" s="170" t="s">
        <v>160</v>
      </c>
      <c r="B15" s="171" t="s">
        <v>4</v>
      </c>
      <c r="C15" s="168">
        <f t="shared" si="1"/>
        <v>1016</v>
      </c>
      <c r="D15" s="169">
        <f t="shared" si="0"/>
        <v>661</v>
      </c>
      <c r="E15" s="172">
        <v>661</v>
      </c>
      <c r="F15" s="172"/>
      <c r="G15" s="169">
        <f t="shared" si="2"/>
        <v>355</v>
      </c>
      <c r="H15" s="172">
        <v>160</v>
      </c>
      <c r="I15" s="172">
        <f t="shared" si="3"/>
        <v>75</v>
      </c>
      <c r="J15" s="172"/>
      <c r="K15" s="172"/>
      <c r="L15" s="172">
        <v>40</v>
      </c>
      <c r="M15" s="172">
        <v>35</v>
      </c>
      <c r="N15" s="172">
        <v>10</v>
      </c>
      <c r="O15" s="172">
        <v>10</v>
      </c>
      <c r="P15" s="172">
        <v>20</v>
      </c>
      <c r="Q15" s="172">
        <v>60</v>
      </c>
      <c r="R15" s="172">
        <f>20</f>
        <v>20</v>
      </c>
      <c r="S15" s="172"/>
      <c r="T15" s="172"/>
      <c r="U15" s="172"/>
    </row>
    <row r="16" spans="1:21" ht="26.25" customHeight="1">
      <c r="A16" s="167">
        <v>2</v>
      </c>
      <c r="B16" s="168" t="s">
        <v>84</v>
      </c>
      <c r="C16" s="168"/>
      <c r="D16" s="169"/>
      <c r="E16" s="169"/>
      <c r="F16" s="169"/>
      <c r="G16" s="169"/>
      <c r="H16" s="169"/>
      <c r="I16" s="172"/>
      <c r="J16" s="169"/>
      <c r="K16" s="169"/>
      <c r="L16" s="169"/>
      <c r="M16" s="169"/>
      <c r="N16" s="169"/>
      <c r="O16" s="169"/>
      <c r="P16" s="169"/>
      <c r="Q16" s="169"/>
      <c r="R16" s="169"/>
      <c r="S16" s="169"/>
      <c r="T16" s="169"/>
      <c r="U16" s="172"/>
    </row>
    <row r="17" spans="1:22" ht="32.25" customHeight="1">
      <c r="A17" s="170" t="s">
        <v>160</v>
      </c>
      <c r="B17" s="171" t="s">
        <v>75</v>
      </c>
      <c r="C17" s="168">
        <f t="shared" si="1"/>
        <v>1265</v>
      </c>
      <c r="D17" s="169">
        <f t="shared" si="0"/>
        <v>810</v>
      </c>
      <c r="E17" s="172">
        <v>810</v>
      </c>
      <c r="F17" s="172"/>
      <c r="G17" s="169">
        <f t="shared" si="2"/>
        <v>455</v>
      </c>
      <c r="H17" s="172">
        <v>160</v>
      </c>
      <c r="I17" s="172">
        <f t="shared" si="3"/>
        <v>75</v>
      </c>
      <c r="J17" s="172"/>
      <c r="K17" s="172"/>
      <c r="L17" s="172">
        <v>40</v>
      </c>
      <c r="M17" s="172">
        <v>35</v>
      </c>
      <c r="N17" s="172">
        <v>10</v>
      </c>
      <c r="O17" s="172">
        <v>10</v>
      </c>
      <c r="P17" s="172">
        <v>20</v>
      </c>
      <c r="Q17" s="172">
        <v>60</v>
      </c>
      <c r="R17" s="172">
        <f>20</f>
        <v>20</v>
      </c>
      <c r="S17" s="172"/>
      <c r="T17" s="172">
        <v>100</v>
      </c>
      <c r="U17" s="172"/>
      <c r="V17" t="s">
        <v>38</v>
      </c>
    </row>
    <row r="18" spans="1:22" ht="27.75" customHeight="1">
      <c r="A18" s="170" t="s">
        <v>160</v>
      </c>
      <c r="B18" s="171" t="s">
        <v>76</v>
      </c>
      <c r="C18" s="168">
        <f t="shared" si="1"/>
        <v>1265</v>
      </c>
      <c r="D18" s="169">
        <f t="shared" si="0"/>
        <v>810</v>
      </c>
      <c r="E18" s="172">
        <v>405</v>
      </c>
      <c r="F18" s="172">
        <v>405</v>
      </c>
      <c r="G18" s="169">
        <f t="shared" si="2"/>
        <v>455</v>
      </c>
      <c r="H18" s="172">
        <v>160</v>
      </c>
      <c r="I18" s="172">
        <f t="shared" si="3"/>
        <v>75</v>
      </c>
      <c r="J18" s="172"/>
      <c r="K18" s="172"/>
      <c r="L18" s="172">
        <v>40</v>
      </c>
      <c r="M18" s="172">
        <v>35</v>
      </c>
      <c r="N18" s="172">
        <v>10</v>
      </c>
      <c r="O18" s="172">
        <v>10</v>
      </c>
      <c r="P18" s="172">
        <v>20</v>
      </c>
      <c r="Q18" s="172">
        <v>60</v>
      </c>
      <c r="R18" s="172">
        <f>20</f>
        <v>20</v>
      </c>
      <c r="S18" s="172"/>
      <c r="T18" s="172">
        <v>100</v>
      </c>
      <c r="U18" s="172"/>
    </row>
    <row r="19" spans="1:22" ht="36.75" customHeight="1">
      <c r="A19" s="167">
        <v>3</v>
      </c>
      <c r="B19" s="168" t="s">
        <v>83</v>
      </c>
      <c r="C19" s="168">
        <f t="shared" ref="C19:C24" si="4">D19+G19</f>
        <v>1165</v>
      </c>
      <c r="D19" s="169">
        <f t="shared" ref="D19:D24" si="5">E19+F19</f>
        <v>810</v>
      </c>
      <c r="E19" s="172">
        <v>810</v>
      </c>
      <c r="F19" s="172"/>
      <c r="G19" s="169">
        <f t="shared" si="2"/>
        <v>355</v>
      </c>
      <c r="H19" s="172">
        <v>160</v>
      </c>
      <c r="I19" s="172">
        <f t="shared" si="3"/>
        <v>75</v>
      </c>
      <c r="J19" s="169"/>
      <c r="K19" s="169"/>
      <c r="L19" s="172">
        <v>40</v>
      </c>
      <c r="M19" s="172">
        <v>35</v>
      </c>
      <c r="N19" s="172">
        <v>10</v>
      </c>
      <c r="O19" s="172">
        <v>10</v>
      </c>
      <c r="P19" s="172">
        <v>20</v>
      </c>
      <c r="Q19" s="172">
        <v>60</v>
      </c>
      <c r="R19" s="172">
        <f>20</f>
        <v>20</v>
      </c>
      <c r="S19" s="172"/>
      <c r="T19" s="169"/>
      <c r="U19" s="172"/>
    </row>
    <row r="20" spans="1:22" s="165" customFormat="1" ht="26.25" customHeight="1">
      <c r="A20" s="167" t="s">
        <v>160</v>
      </c>
      <c r="B20" s="171" t="s">
        <v>78</v>
      </c>
      <c r="C20" s="168">
        <f t="shared" si="4"/>
        <v>1565</v>
      </c>
      <c r="D20" s="169">
        <f t="shared" si="5"/>
        <v>810</v>
      </c>
      <c r="E20" s="172">
        <v>810</v>
      </c>
      <c r="F20" s="169"/>
      <c r="G20" s="169">
        <f>H20+I20+N20+O20+P20+Q20+R20+S20+T20</f>
        <v>755</v>
      </c>
      <c r="H20" s="172">
        <v>160</v>
      </c>
      <c r="I20" s="172">
        <f t="shared" si="3"/>
        <v>75</v>
      </c>
      <c r="J20" s="169"/>
      <c r="K20" s="169"/>
      <c r="L20" s="172">
        <v>40</v>
      </c>
      <c r="M20" s="172">
        <v>35</v>
      </c>
      <c r="N20" s="172">
        <v>10</v>
      </c>
      <c r="O20" s="172">
        <v>10</v>
      </c>
      <c r="P20" s="172">
        <v>20</v>
      </c>
      <c r="Q20" s="172">
        <v>60</v>
      </c>
      <c r="R20" s="172">
        <f>20</f>
        <v>20</v>
      </c>
      <c r="S20" s="172">
        <v>300</v>
      </c>
      <c r="T20" s="172">
        <v>100</v>
      </c>
      <c r="U20" s="172"/>
    </row>
    <row r="21" spans="1:22" s="165" customFormat="1" ht="26.25" customHeight="1">
      <c r="A21" s="167" t="s">
        <v>160</v>
      </c>
      <c r="B21" s="171" t="s">
        <v>80</v>
      </c>
      <c r="C21" s="168">
        <f t="shared" si="4"/>
        <v>3065</v>
      </c>
      <c r="D21" s="169">
        <f t="shared" si="5"/>
        <v>810</v>
      </c>
      <c r="E21" s="172">
        <v>810</v>
      </c>
      <c r="F21" s="169"/>
      <c r="G21" s="169">
        <f>H21+I21+N21+O21+P21+Q21+R21+S21+T21+U21</f>
        <v>2255</v>
      </c>
      <c r="H21" s="172">
        <v>160</v>
      </c>
      <c r="I21" s="172">
        <f t="shared" si="3"/>
        <v>75</v>
      </c>
      <c r="J21" s="169"/>
      <c r="K21" s="169"/>
      <c r="L21" s="172">
        <v>40</v>
      </c>
      <c r="M21" s="172">
        <v>35</v>
      </c>
      <c r="N21" s="172">
        <v>10</v>
      </c>
      <c r="O21" s="172">
        <v>10</v>
      </c>
      <c r="P21" s="172">
        <v>20</v>
      </c>
      <c r="Q21" s="172">
        <v>60</v>
      </c>
      <c r="R21" s="172">
        <f>20</f>
        <v>20</v>
      </c>
      <c r="S21" s="172">
        <v>300</v>
      </c>
      <c r="T21" s="172">
        <v>100</v>
      </c>
      <c r="U21" s="172">
        <v>1500</v>
      </c>
    </row>
    <row r="22" spans="1:22" ht="23.25" customHeight="1">
      <c r="A22" s="167">
        <v>5</v>
      </c>
      <c r="B22" s="168" t="s">
        <v>153</v>
      </c>
      <c r="C22" s="168">
        <f t="shared" si="4"/>
        <v>760</v>
      </c>
      <c r="D22" s="169">
        <f t="shared" si="5"/>
        <v>405</v>
      </c>
      <c r="E22" s="172">
        <v>405</v>
      </c>
      <c r="F22" s="172"/>
      <c r="G22" s="169">
        <f t="shared" si="2"/>
        <v>355</v>
      </c>
      <c r="H22" s="172">
        <v>160</v>
      </c>
      <c r="I22" s="172">
        <f t="shared" si="3"/>
        <v>75</v>
      </c>
      <c r="J22" s="169"/>
      <c r="K22" s="169"/>
      <c r="L22" s="172">
        <v>40</v>
      </c>
      <c r="M22" s="172">
        <v>35</v>
      </c>
      <c r="N22" s="172">
        <v>10</v>
      </c>
      <c r="O22" s="172">
        <v>10</v>
      </c>
      <c r="P22" s="172">
        <v>20</v>
      </c>
      <c r="Q22" s="172">
        <v>60</v>
      </c>
      <c r="R22" s="172">
        <f>20</f>
        <v>20</v>
      </c>
      <c r="S22" s="172"/>
      <c r="T22" s="169"/>
      <c r="U22" s="172"/>
    </row>
    <row r="23" spans="1:22" ht="22.5" customHeight="1">
      <c r="A23" s="167" t="s">
        <v>160</v>
      </c>
      <c r="B23" s="171" t="s">
        <v>79</v>
      </c>
      <c r="C23" s="168">
        <f t="shared" si="4"/>
        <v>1060</v>
      </c>
      <c r="D23" s="169">
        <f t="shared" si="5"/>
        <v>405</v>
      </c>
      <c r="E23" s="172">
        <v>405</v>
      </c>
      <c r="F23" s="172"/>
      <c r="G23" s="169">
        <f t="shared" si="2"/>
        <v>655</v>
      </c>
      <c r="H23" s="172">
        <v>160</v>
      </c>
      <c r="I23" s="172">
        <f t="shared" si="3"/>
        <v>75</v>
      </c>
      <c r="J23" s="172"/>
      <c r="K23" s="172"/>
      <c r="L23" s="172">
        <v>40</v>
      </c>
      <c r="M23" s="172">
        <v>35</v>
      </c>
      <c r="N23" s="172">
        <v>10</v>
      </c>
      <c r="O23" s="172">
        <v>10</v>
      </c>
      <c r="P23" s="172">
        <v>20</v>
      </c>
      <c r="Q23" s="172">
        <v>60</v>
      </c>
      <c r="R23" s="172">
        <v>20</v>
      </c>
      <c r="S23" s="172">
        <v>300</v>
      </c>
      <c r="T23" s="172"/>
      <c r="U23" s="172"/>
    </row>
    <row r="24" spans="1:22" ht="32.25" customHeight="1">
      <c r="A24" s="170" t="s">
        <v>160</v>
      </c>
      <c r="B24" s="171" t="s">
        <v>81</v>
      </c>
      <c r="C24" s="168">
        <f t="shared" si="4"/>
        <v>2255</v>
      </c>
      <c r="D24" s="169">
        <f t="shared" si="5"/>
        <v>0</v>
      </c>
      <c r="E24" s="172"/>
      <c r="F24" s="172"/>
      <c r="G24" s="169">
        <f>H24+I24+N24+O24+P24+Q24+R24+S24+T24+U24</f>
        <v>2255</v>
      </c>
      <c r="H24" s="172">
        <v>160</v>
      </c>
      <c r="I24" s="172">
        <f t="shared" si="3"/>
        <v>75</v>
      </c>
      <c r="J24" s="172"/>
      <c r="K24" s="172"/>
      <c r="L24" s="172">
        <v>40</v>
      </c>
      <c r="M24" s="172">
        <v>35</v>
      </c>
      <c r="N24" s="172">
        <v>10</v>
      </c>
      <c r="O24" s="172">
        <v>10</v>
      </c>
      <c r="P24" s="172">
        <v>20</v>
      </c>
      <c r="Q24" s="172">
        <v>60</v>
      </c>
      <c r="R24" s="172">
        <v>20</v>
      </c>
      <c r="S24" s="172">
        <v>300</v>
      </c>
      <c r="T24" s="172">
        <v>100</v>
      </c>
      <c r="U24" s="172">
        <v>1500</v>
      </c>
    </row>
    <row r="25" spans="1:22" ht="20.25" customHeight="1">
      <c r="A25" s="61"/>
      <c r="B25" s="62" t="s">
        <v>179</v>
      </c>
      <c r="C25" s="62"/>
      <c r="D25" s="62"/>
      <c r="E25" s="62"/>
      <c r="F25" s="62"/>
      <c r="G25" s="62"/>
      <c r="H25" s="62"/>
      <c r="I25" s="61"/>
      <c r="J25" s="62"/>
      <c r="K25" s="62"/>
      <c r="L25" s="62"/>
      <c r="M25" s="62"/>
      <c r="N25" s="62"/>
      <c r="O25" s="62"/>
      <c r="P25" s="62"/>
      <c r="Q25" s="62"/>
      <c r="R25" s="62"/>
      <c r="S25" s="62"/>
      <c r="T25" s="62"/>
    </row>
    <row r="26" spans="1:22" ht="15.75">
      <c r="A26" s="30"/>
      <c r="B26" s="62"/>
      <c r="C26" s="30"/>
      <c r="D26" s="30"/>
      <c r="E26" s="30"/>
      <c r="F26" s="30"/>
      <c r="G26" s="30"/>
      <c r="H26" s="30"/>
      <c r="I26" s="30"/>
      <c r="J26" s="30"/>
      <c r="K26" s="30"/>
      <c r="L26" s="30"/>
      <c r="M26" s="30"/>
      <c r="N26" s="30"/>
      <c r="O26" s="30"/>
      <c r="P26" s="30"/>
      <c r="Q26" s="30"/>
      <c r="R26" s="30"/>
      <c r="S26" s="30"/>
      <c r="T26" s="30"/>
    </row>
    <row r="27" spans="1:22" ht="15.75">
      <c r="A27" s="30"/>
      <c r="B27" s="30"/>
      <c r="C27" s="30"/>
      <c r="D27" s="30"/>
      <c r="E27" s="30"/>
      <c r="F27" s="30"/>
      <c r="G27" s="30"/>
      <c r="H27" s="30"/>
      <c r="I27" s="30"/>
      <c r="J27" s="30"/>
      <c r="K27" s="30"/>
      <c r="L27" s="30"/>
      <c r="M27" s="30"/>
      <c r="N27" s="30"/>
      <c r="O27" s="30"/>
      <c r="P27" s="30"/>
      <c r="Q27" s="30"/>
      <c r="R27" s="30"/>
      <c r="S27" s="30"/>
      <c r="T27" s="30"/>
    </row>
    <row r="28" spans="1:22" ht="15.75">
      <c r="A28" s="30"/>
      <c r="B28" s="30"/>
      <c r="C28" s="30"/>
      <c r="D28" s="30"/>
      <c r="E28" s="30"/>
      <c r="F28" s="30"/>
      <c r="G28" s="30"/>
      <c r="H28" s="30"/>
      <c r="I28" s="30"/>
      <c r="J28" s="30"/>
      <c r="K28" s="30"/>
      <c r="L28" s="30"/>
      <c r="M28" s="30"/>
      <c r="N28" s="30"/>
      <c r="O28" s="30"/>
      <c r="P28" s="30"/>
      <c r="Q28" s="30"/>
      <c r="R28" s="30"/>
      <c r="S28" s="30"/>
      <c r="T28" s="30"/>
    </row>
  </sheetData>
  <mergeCells count="23">
    <mergeCell ref="A1:U1"/>
    <mergeCell ref="A3:U3"/>
    <mergeCell ref="T6:T7"/>
    <mergeCell ref="I6:M6"/>
    <mergeCell ref="F6:F7"/>
    <mergeCell ref="Q4:U4"/>
    <mergeCell ref="Q6:Q7"/>
    <mergeCell ref="A2:U2"/>
    <mergeCell ref="C5:C7"/>
    <mergeCell ref="O6:O7"/>
    <mergeCell ref="B5:B7"/>
    <mergeCell ref="R6:R7"/>
    <mergeCell ref="A5:A7"/>
    <mergeCell ref="G6:G7"/>
    <mergeCell ref="H6:H7"/>
    <mergeCell ref="E6:E7"/>
    <mergeCell ref="N6:N7"/>
    <mergeCell ref="S6:S7"/>
    <mergeCell ref="D5:F5"/>
    <mergeCell ref="U6:U7"/>
    <mergeCell ref="D6:D7"/>
    <mergeCell ref="G5:U5"/>
    <mergeCell ref="P6:P7"/>
  </mergeCells>
  <phoneticPr fontId="5" type="noConversion"/>
  <pageMargins left="0.45" right="0.25" top="0.25" bottom="0.25" header="0.25" footer="0.25"/>
  <pageSetup paperSize="9" scale="92" orientation="landscape" r:id="rId1"/>
  <ignoredErrors>
    <ignoredError sqref="I22 I10:I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8"/>
  <sheetViews>
    <sheetView workbookViewId="0">
      <pane xSplit="2" ySplit="6" topLeftCell="C7" activePane="bottomRight" state="frozen"/>
      <selection activeCell="X4" sqref="X4"/>
      <selection pane="topRight" activeCell="X4" sqref="X4"/>
      <selection pane="bottomLeft" activeCell="X4" sqref="X4"/>
      <selection pane="bottomRight" activeCell="X4" sqref="X4"/>
    </sheetView>
  </sheetViews>
  <sheetFormatPr defaultRowHeight="15"/>
  <cols>
    <col min="1" max="1" width="0.5703125" style="24" customWidth="1"/>
    <col min="2" max="2" width="10" customWidth="1"/>
    <col min="3" max="3" width="3.28515625" customWidth="1"/>
    <col min="4" max="4" width="1.85546875" bestFit="1" customWidth="1"/>
    <col min="5" max="5" width="1.7109375" bestFit="1" customWidth="1"/>
    <col min="6" max="6" width="1.85546875" bestFit="1" customWidth="1"/>
    <col min="7" max="7" width="1.42578125" customWidth="1"/>
    <col min="8" max="8" width="2.28515625" bestFit="1" customWidth="1"/>
  </cols>
  <sheetData>
    <row r="1" spans="1:4" ht="21" customHeight="1">
      <c r="A1" s="402" t="s">
        <v>182</v>
      </c>
      <c r="B1" s="402"/>
      <c r="C1" s="402"/>
    </row>
    <row r="2" spans="1:4" ht="26.25" customHeight="1">
      <c r="A2" s="397" t="s">
        <v>98</v>
      </c>
      <c r="B2" s="398"/>
      <c r="C2" s="398"/>
    </row>
    <row r="3" spans="1:4" ht="20.25" customHeight="1">
      <c r="A3" s="401" t="s">
        <v>180</v>
      </c>
      <c r="B3" s="401"/>
      <c r="C3" s="401"/>
    </row>
    <row r="4" spans="1:4" ht="20.25" customHeight="1">
      <c r="A4" s="176"/>
      <c r="B4" s="176"/>
      <c r="C4" s="176"/>
    </row>
    <row r="5" spans="1:4">
      <c r="C5" s="128" t="s">
        <v>97</v>
      </c>
    </row>
    <row r="6" spans="1:4" ht="39" customHeight="1">
      <c r="A6" s="26" t="s">
        <v>148</v>
      </c>
      <c r="B6" s="7" t="s">
        <v>168</v>
      </c>
      <c r="C6" s="7" t="s">
        <v>127</v>
      </c>
      <c r="D6" s="10"/>
    </row>
    <row r="7" spans="1:4" ht="23.25" customHeight="1">
      <c r="A7" s="22"/>
      <c r="B7" s="27" t="s">
        <v>123</v>
      </c>
      <c r="C7" s="11">
        <f>SUM(C8:C12)</f>
        <v>2401000000</v>
      </c>
      <c r="D7" s="10"/>
    </row>
    <row r="8" spans="1:4" ht="23.25" customHeight="1">
      <c r="A8" s="21">
        <v>1</v>
      </c>
      <c r="B8" s="28" t="s">
        <v>166</v>
      </c>
      <c r="C8" s="8">
        <v>600000000</v>
      </c>
      <c r="D8" s="10"/>
    </row>
    <row r="9" spans="1:4" ht="23.25" customHeight="1">
      <c r="A9" s="21">
        <v>2</v>
      </c>
      <c r="B9" s="28" t="s">
        <v>165</v>
      </c>
      <c r="C9" s="8">
        <v>400000000</v>
      </c>
      <c r="D9" s="10"/>
    </row>
    <row r="10" spans="1:4" ht="23.25" customHeight="1">
      <c r="A10" s="21">
        <v>3</v>
      </c>
      <c r="B10" s="28" t="s">
        <v>164</v>
      </c>
      <c r="C10" s="8">
        <f>C28</f>
        <v>400000000</v>
      </c>
      <c r="D10" s="10"/>
    </row>
    <row r="11" spans="1:4" ht="23.25" customHeight="1">
      <c r="A11" s="21">
        <v>4</v>
      </c>
      <c r="B11" s="28" t="s">
        <v>163</v>
      </c>
      <c r="C11" s="8">
        <v>651000000</v>
      </c>
      <c r="D11" s="10"/>
    </row>
    <row r="12" spans="1:4" ht="23.25" customHeight="1">
      <c r="A12" s="23">
        <v>5</v>
      </c>
      <c r="B12" s="29" t="s">
        <v>162</v>
      </c>
      <c r="C12" s="12">
        <v>350000000</v>
      </c>
      <c r="D12" s="10"/>
    </row>
    <row r="13" spans="1:4" ht="23.25" customHeight="1">
      <c r="A13" s="399" t="s">
        <v>31</v>
      </c>
      <c r="B13" s="400"/>
      <c r="C13" s="34"/>
      <c r="D13" s="10"/>
    </row>
    <row r="14" spans="1:4" ht="23.25" customHeight="1">
      <c r="A14" s="35">
        <v>1</v>
      </c>
      <c r="B14" s="36" t="s">
        <v>32</v>
      </c>
      <c r="C14" s="59">
        <f>SUM(C15:C17)</f>
        <v>600000000</v>
      </c>
      <c r="D14" s="10"/>
    </row>
    <row r="15" spans="1:4" ht="23.25" customHeight="1">
      <c r="A15" s="37" t="s">
        <v>160</v>
      </c>
      <c r="B15" s="38" t="s">
        <v>128</v>
      </c>
      <c r="C15" s="8">
        <v>300000000</v>
      </c>
      <c r="D15" s="10"/>
    </row>
    <row r="16" spans="1:4" ht="23.25" customHeight="1">
      <c r="A16" s="37" t="s">
        <v>160</v>
      </c>
      <c r="B16" s="39" t="s">
        <v>129</v>
      </c>
      <c r="C16" s="8">
        <v>150000000</v>
      </c>
      <c r="D16" s="10"/>
    </row>
    <row r="17" spans="1:10" ht="23.25" customHeight="1">
      <c r="A17" s="37" t="s">
        <v>160</v>
      </c>
      <c r="B17" s="40" t="s">
        <v>130</v>
      </c>
      <c r="C17" s="8">
        <v>150000000</v>
      </c>
      <c r="D17" s="10"/>
    </row>
    <row r="18" spans="1:10" ht="23.25" customHeight="1">
      <c r="A18" s="41">
        <v>2</v>
      </c>
      <c r="B18" s="36" t="s">
        <v>33</v>
      </c>
      <c r="C18" s="59">
        <f>SUM(C19:C21)</f>
        <v>400000000</v>
      </c>
      <c r="D18" s="10"/>
    </row>
    <row r="19" spans="1:10" ht="23.25" customHeight="1">
      <c r="A19" s="37" t="s">
        <v>160</v>
      </c>
      <c r="B19" s="40" t="s">
        <v>131</v>
      </c>
      <c r="C19" s="42">
        <v>250000000</v>
      </c>
      <c r="D19" s="10"/>
    </row>
    <row r="20" spans="1:10" ht="23.25" customHeight="1">
      <c r="A20" s="37" t="s">
        <v>160</v>
      </c>
      <c r="B20" s="40" t="s">
        <v>132</v>
      </c>
      <c r="C20" s="42">
        <v>50000000</v>
      </c>
      <c r="D20" s="10"/>
    </row>
    <row r="21" spans="1:10" ht="23.25" customHeight="1">
      <c r="A21" s="37" t="s">
        <v>160</v>
      </c>
      <c r="B21" s="40" t="s">
        <v>130</v>
      </c>
      <c r="C21" s="42">
        <v>100000000</v>
      </c>
      <c r="D21" s="13"/>
      <c r="E21" s="2"/>
      <c r="F21" s="2"/>
      <c r="G21" s="2"/>
      <c r="H21" s="2"/>
    </row>
    <row r="22" spans="1:10" ht="21" customHeight="1">
      <c r="A22" s="41">
        <v>3</v>
      </c>
      <c r="B22" s="43" t="s">
        <v>163</v>
      </c>
      <c r="C22" s="44">
        <f>C23+C24+C25+C26+C27</f>
        <v>651000000</v>
      </c>
      <c r="D22" s="14"/>
      <c r="E22" s="177"/>
      <c r="F22" s="177"/>
      <c r="G22" s="2"/>
      <c r="H22" s="2"/>
    </row>
    <row r="23" spans="1:10" ht="42.75" customHeight="1">
      <c r="A23" s="45" t="s">
        <v>89</v>
      </c>
      <c r="B23" s="46" t="s">
        <v>133</v>
      </c>
      <c r="C23" s="47">
        <f>443124000+373200</f>
        <v>443497200</v>
      </c>
      <c r="D23" s="15"/>
      <c r="E23" s="2"/>
      <c r="F23" s="2"/>
      <c r="G23" s="2"/>
      <c r="H23" s="2"/>
    </row>
    <row r="24" spans="1:10" ht="409.5">
      <c r="A24" s="45" t="s">
        <v>90</v>
      </c>
      <c r="B24" s="46" t="s">
        <v>134</v>
      </c>
      <c r="C24" s="48">
        <v>89520000</v>
      </c>
      <c r="D24" s="15"/>
      <c r="E24" s="2"/>
      <c r="F24" s="2"/>
      <c r="G24" s="2"/>
      <c r="H24" s="2"/>
    </row>
    <row r="25" spans="1:10" ht="40.5" customHeight="1">
      <c r="A25" s="45" t="s">
        <v>91</v>
      </c>
      <c r="B25" s="46" t="s">
        <v>135</v>
      </c>
      <c r="C25" s="48">
        <v>12982800</v>
      </c>
      <c r="D25" s="15"/>
    </row>
    <row r="26" spans="1:10" ht="46.5" customHeight="1">
      <c r="A26" s="45" t="s">
        <v>92</v>
      </c>
      <c r="B26" s="39" t="s">
        <v>136</v>
      </c>
      <c r="C26" s="49">
        <v>60000000</v>
      </c>
      <c r="D26" s="15"/>
    </row>
    <row r="27" spans="1:10" ht="243.75">
      <c r="A27" s="45" t="s">
        <v>7</v>
      </c>
      <c r="B27" s="39" t="s">
        <v>137</v>
      </c>
      <c r="C27" s="50">
        <v>45000000</v>
      </c>
      <c r="D27" s="10"/>
      <c r="F27" s="16"/>
      <c r="G27" s="16"/>
      <c r="H27" s="16"/>
      <c r="I27" s="16"/>
      <c r="J27" s="16"/>
    </row>
    <row r="28" spans="1:10" ht="18.75">
      <c r="A28" s="41">
        <v>4</v>
      </c>
      <c r="B28" s="51" t="s">
        <v>138</v>
      </c>
      <c r="C28" s="44">
        <f>C29+C36+C37+C38</f>
        <v>400000000</v>
      </c>
      <c r="D28" s="10"/>
      <c r="F28" s="16"/>
      <c r="G28" s="16"/>
      <c r="H28" s="16"/>
      <c r="I28" s="16"/>
      <c r="J28" s="16"/>
    </row>
    <row r="29" spans="1:10" ht="24" customHeight="1">
      <c r="A29" s="45" t="s">
        <v>93</v>
      </c>
      <c r="B29" s="40" t="s">
        <v>139</v>
      </c>
      <c r="C29" s="47">
        <f>C30+C31+C32+C33+C34+C35</f>
        <v>263435000</v>
      </c>
      <c r="D29" s="10"/>
      <c r="F29" s="16"/>
      <c r="G29" s="16"/>
      <c r="H29" s="16"/>
      <c r="I29" s="16"/>
      <c r="J29" s="16"/>
    </row>
    <row r="30" spans="1:10" ht="39.75" customHeight="1">
      <c r="A30" s="45" t="s">
        <v>160</v>
      </c>
      <c r="B30" s="46" t="s">
        <v>140</v>
      </c>
      <c r="C30" s="52">
        <f>239*235*4000</f>
        <v>224660000</v>
      </c>
      <c r="D30" s="17"/>
      <c r="F30" s="18"/>
      <c r="G30" s="18"/>
      <c r="H30" s="19"/>
      <c r="I30" s="16"/>
      <c r="J30" s="16"/>
    </row>
    <row r="31" spans="1:10" ht="24" customHeight="1">
      <c r="A31" s="45" t="s">
        <v>160</v>
      </c>
      <c r="B31" s="53" t="s">
        <v>141</v>
      </c>
      <c r="C31" s="47">
        <f>235*25000</f>
        <v>5875000</v>
      </c>
      <c r="D31" s="10"/>
      <c r="F31" s="18"/>
      <c r="G31" s="18"/>
      <c r="H31" s="19"/>
      <c r="I31" s="16"/>
      <c r="J31" s="16"/>
    </row>
    <row r="32" spans="1:10" ht="24" customHeight="1">
      <c r="A32" s="45" t="s">
        <v>160</v>
      </c>
      <c r="B32" s="53" t="s">
        <v>142</v>
      </c>
      <c r="C32" s="47">
        <f>235*25000</f>
        <v>5875000</v>
      </c>
      <c r="D32" s="10"/>
      <c r="F32" s="18"/>
      <c r="G32" s="18"/>
      <c r="H32" s="19"/>
      <c r="I32" s="16"/>
      <c r="J32" s="16"/>
    </row>
    <row r="33" spans="1:20" ht="24" customHeight="1">
      <c r="A33" s="45" t="s">
        <v>160</v>
      </c>
      <c r="B33" s="53" t="s">
        <v>143</v>
      </c>
      <c r="C33" s="47">
        <f>235*25000</f>
        <v>5875000</v>
      </c>
      <c r="D33" s="10"/>
      <c r="F33" s="18"/>
      <c r="G33" s="18"/>
      <c r="H33" s="19"/>
      <c r="I33" s="16"/>
      <c r="J33" s="16"/>
    </row>
    <row r="34" spans="1:20" ht="24" customHeight="1">
      <c r="A34" s="45" t="s">
        <v>160</v>
      </c>
      <c r="B34" s="53" t="s">
        <v>6</v>
      </c>
      <c r="C34" s="47">
        <f>235*45000</f>
        <v>10575000</v>
      </c>
      <c r="D34" s="10"/>
      <c r="E34" s="3"/>
      <c r="F34" s="18"/>
      <c r="G34" s="18"/>
      <c r="H34" s="19"/>
      <c r="I34" s="16"/>
      <c r="J34" s="16"/>
    </row>
    <row r="35" spans="1:20" ht="24" customHeight="1">
      <c r="A35" s="45" t="s">
        <v>160</v>
      </c>
      <c r="B35" s="53" t="s">
        <v>144</v>
      </c>
      <c r="C35" s="47">
        <f>235*45000</f>
        <v>10575000</v>
      </c>
      <c r="D35" s="10"/>
      <c r="F35" s="18"/>
      <c r="G35" s="18"/>
      <c r="H35" s="19"/>
      <c r="I35" s="16"/>
      <c r="J35" s="16"/>
    </row>
    <row r="36" spans="1:20" ht="24" customHeight="1">
      <c r="A36" s="54" t="s">
        <v>94</v>
      </c>
      <c r="B36" s="55" t="s">
        <v>145</v>
      </c>
      <c r="C36" s="56">
        <v>66565000</v>
      </c>
      <c r="F36" s="16"/>
      <c r="G36" s="16"/>
      <c r="H36" s="20"/>
      <c r="I36" s="16"/>
      <c r="J36" s="16"/>
    </row>
    <row r="37" spans="1:20" ht="24" customHeight="1">
      <c r="A37" s="57" t="s">
        <v>95</v>
      </c>
      <c r="B37" s="58" t="s">
        <v>146</v>
      </c>
      <c r="C37" s="56">
        <v>50000000</v>
      </c>
    </row>
    <row r="38" spans="1:20" ht="24" customHeight="1">
      <c r="A38" s="31" t="s">
        <v>96</v>
      </c>
      <c r="B38" s="32" t="s">
        <v>147</v>
      </c>
      <c r="C38" s="33">
        <v>20000000</v>
      </c>
      <c r="D38" s="3"/>
    </row>
    <row r="40" spans="1:20" s="127" customFormat="1" ht="17.25" hidden="1">
      <c r="A40" s="125" t="s">
        <v>30</v>
      </c>
      <c r="B40" s="126"/>
      <c r="C40" s="125"/>
      <c r="D40" s="126"/>
      <c r="E40" s="126"/>
      <c r="F40" s="126"/>
      <c r="G40" s="126"/>
      <c r="H40" s="126"/>
      <c r="I40" s="126"/>
      <c r="J40" s="125"/>
      <c r="K40" s="126"/>
      <c r="L40" s="126"/>
      <c r="M40" s="126"/>
      <c r="N40" s="126"/>
      <c r="O40" s="126"/>
      <c r="P40" s="126"/>
      <c r="Q40" s="126"/>
      <c r="R40" s="126"/>
      <c r="S40" s="126"/>
      <c r="T40" s="126"/>
    </row>
    <row r="41" spans="1:20" s="5" customFormat="1" ht="16.5" hidden="1">
      <c r="A41" s="25"/>
      <c r="B41" s="25"/>
      <c r="C41" s="25"/>
    </row>
    <row r="42" spans="1:20" s="5" customFormat="1" ht="16.5" hidden="1">
      <c r="A42" s="25"/>
      <c r="B42" s="25"/>
      <c r="C42" s="25"/>
    </row>
    <row r="43" spans="1:20" s="5" customFormat="1" ht="16.5" hidden="1">
      <c r="A43" s="25"/>
      <c r="B43" s="25"/>
      <c r="C43" s="25"/>
    </row>
    <row r="44" spans="1:20" s="5" customFormat="1" ht="16.5" hidden="1">
      <c r="A44" s="25"/>
      <c r="B44" s="25"/>
      <c r="C44" s="25"/>
    </row>
    <row r="45" spans="1:20" s="5" customFormat="1" ht="16.5" hidden="1">
      <c r="A45" s="25"/>
      <c r="B45" s="25"/>
      <c r="C45" s="25"/>
    </row>
    <row r="46" spans="1:20" s="5" customFormat="1" ht="16.5" hidden="1">
      <c r="A46" s="25"/>
      <c r="B46" s="25"/>
      <c r="C46" s="25" t="s">
        <v>28</v>
      </c>
    </row>
    <row r="47" spans="1:20" s="6" customFormat="1" ht="16.5" hidden="1">
      <c r="A47" s="124" t="s">
        <v>29</v>
      </c>
      <c r="B47" s="124"/>
      <c r="C47" s="124"/>
    </row>
    <row r="48" spans="1:20" hidden="1"/>
  </sheetData>
  <mergeCells count="4">
    <mergeCell ref="A2:C2"/>
    <mergeCell ref="A13:B13"/>
    <mergeCell ref="A3:C3"/>
    <mergeCell ref="A1:C1"/>
  </mergeCells>
  <phoneticPr fontId="5" type="noConversion"/>
  <pageMargins left="0.65" right="0.35" top="0.5" bottom="0.5" header="0.25" footer="0.2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57"/>
  <sheetViews>
    <sheetView zoomScaleNormal="100" zoomScaleSheetLayoutView="100" workbookViewId="0">
      <selection activeCell="X4" sqref="X4"/>
    </sheetView>
  </sheetViews>
  <sheetFormatPr defaultColWidth="8.7109375" defaultRowHeight="18.75"/>
  <cols>
    <col min="1" max="1" width="0.7109375" style="66" customWidth="1"/>
    <col min="2" max="2" width="9.42578125" style="66" customWidth="1"/>
    <col min="3" max="4" width="2.5703125" style="66" hidden="1" customWidth="1"/>
    <col min="5" max="5" width="2.7109375" style="66" customWidth="1"/>
    <col min="6" max="6" width="2.140625" style="66" customWidth="1"/>
    <col min="7" max="7" width="1.85546875" style="66" bestFit="1" customWidth="1"/>
    <col min="8" max="8" width="1.42578125" style="66" customWidth="1"/>
    <col min="9" max="9" width="1.85546875" style="66" bestFit="1" customWidth="1"/>
    <col min="10" max="16384" width="8.7109375" style="66"/>
  </cols>
  <sheetData>
    <row r="1" spans="1:6" s="65" customFormat="1" ht="22.5" customHeight="1">
      <c r="A1" s="406" t="s">
        <v>181</v>
      </c>
      <c r="B1" s="406"/>
      <c r="C1" s="406"/>
      <c r="D1" s="406"/>
      <c r="E1" s="406"/>
      <c r="F1" s="406"/>
    </row>
    <row r="2" spans="1:6" s="68" customFormat="1" ht="33.75" customHeight="1">
      <c r="A2" s="407" t="s">
        <v>24</v>
      </c>
      <c r="B2" s="407"/>
      <c r="C2" s="407"/>
      <c r="D2" s="407"/>
      <c r="E2" s="407"/>
      <c r="F2" s="407"/>
    </row>
    <row r="3" spans="1:6" s="68" customFormat="1" ht="21" customHeight="1">
      <c r="A3" s="409" t="s">
        <v>180</v>
      </c>
      <c r="B3" s="409"/>
      <c r="C3" s="409"/>
      <c r="D3" s="409"/>
      <c r="E3" s="409"/>
      <c r="F3" s="409"/>
    </row>
    <row r="4" spans="1:6" s="68" customFormat="1" ht="16.5" customHeight="1">
      <c r="A4" s="67"/>
      <c r="B4" s="67"/>
      <c r="C4" s="67"/>
      <c r="D4" s="67"/>
      <c r="E4" s="408" t="s">
        <v>23</v>
      </c>
      <c r="F4" s="408"/>
    </row>
    <row r="5" spans="1:6" s="68" customFormat="1" ht="46.5" customHeight="1">
      <c r="A5" s="69" t="s">
        <v>148</v>
      </c>
      <c r="B5" s="70" t="s">
        <v>168</v>
      </c>
      <c r="C5" s="70" t="s">
        <v>25</v>
      </c>
      <c r="D5" s="70" t="s">
        <v>21</v>
      </c>
      <c r="E5" s="70" t="s">
        <v>99</v>
      </c>
      <c r="F5" s="70" t="s">
        <v>167</v>
      </c>
    </row>
    <row r="6" spans="1:6" s="68" customFormat="1" ht="72" customHeight="1">
      <c r="A6" s="69" t="s">
        <v>149</v>
      </c>
      <c r="B6" s="115" t="s">
        <v>12</v>
      </c>
      <c r="C6" s="71">
        <f>SUM(C7:C11)</f>
        <v>953000000</v>
      </c>
      <c r="D6" s="71">
        <f>SUM(D7:D11)</f>
        <v>953000000</v>
      </c>
      <c r="E6" s="71">
        <f>SUM(E7:E11)</f>
        <v>1545000000</v>
      </c>
      <c r="F6" s="403" t="s">
        <v>68</v>
      </c>
    </row>
    <row r="7" spans="1:6" s="68" customFormat="1" ht="36.75" customHeight="1">
      <c r="A7" s="73">
        <v>1</v>
      </c>
      <c r="B7" s="74" t="s">
        <v>13</v>
      </c>
      <c r="C7" s="75">
        <v>627270000</v>
      </c>
      <c r="D7" s="75">
        <v>350000000</v>
      </c>
      <c r="E7" s="75">
        <f>1260830000-405000000</f>
        <v>855830000</v>
      </c>
      <c r="F7" s="404"/>
    </row>
    <row r="8" spans="1:6" s="68" customFormat="1" ht="36.75" customHeight="1">
      <c r="A8" s="77">
        <v>2</v>
      </c>
      <c r="B8" s="78" t="s">
        <v>14</v>
      </c>
      <c r="C8" s="79">
        <v>130220000</v>
      </c>
      <c r="D8" s="79">
        <v>45000000</v>
      </c>
      <c r="E8" s="79">
        <v>122560000</v>
      </c>
      <c r="F8" s="404"/>
    </row>
    <row r="9" spans="1:6" s="68" customFormat="1" ht="28.5" customHeight="1">
      <c r="A9" s="77">
        <v>3</v>
      </c>
      <c r="B9" s="78" t="s">
        <v>15</v>
      </c>
      <c r="C9" s="79">
        <v>51030000</v>
      </c>
      <c r="D9" s="79">
        <f>55000000+112000000</f>
        <v>167000000</v>
      </c>
      <c r="E9" s="79">
        <v>85260000</v>
      </c>
      <c r="F9" s="404"/>
    </row>
    <row r="10" spans="1:6" s="68" customFormat="1" ht="28.5" customHeight="1">
      <c r="A10" s="108">
        <v>4</v>
      </c>
      <c r="B10" s="133" t="s">
        <v>16</v>
      </c>
      <c r="C10" s="109">
        <v>144480000</v>
      </c>
      <c r="D10" s="109">
        <v>391000000</v>
      </c>
      <c r="E10" s="109">
        <v>234480000</v>
      </c>
      <c r="F10" s="404"/>
    </row>
    <row r="11" spans="1:6" s="68" customFormat="1" ht="28.5" customHeight="1">
      <c r="A11" s="81">
        <v>5</v>
      </c>
      <c r="B11" s="82" t="s">
        <v>35</v>
      </c>
      <c r="C11" s="83"/>
      <c r="D11" s="83"/>
      <c r="E11" s="83">
        <f>258870000-12000000</f>
        <v>246870000</v>
      </c>
      <c r="F11" s="405"/>
    </row>
    <row r="12" spans="1:6" s="87" customFormat="1" ht="27" customHeight="1">
      <c r="A12" s="69" t="s">
        <v>150</v>
      </c>
      <c r="B12" s="85" t="s">
        <v>171</v>
      </c>
      <c r="C12" s="71">
        <v>1065000000</v>
      </c>
      <c r="D12" s="71">
        <f>SUM(D13:D15)</f>
        <v>1065000000</v>
      </c>
      <c r="E12" s="71">
        <f>SUM(E13:E15)</f>
        <v>1401000000</v>
      </c>
      <c r="F12" s="86"/>
    </row>
    <row r="13" spans="1:6" s="68" customFormat="1" ht="24.75" customHeight="1">
      <c r="A13" s="77">
        <v>3</v>
      </c>
      <c r="B13" s="99" t="s">
        <v>164</v>
      </c>
      <c r="C13" s="79">
        <v>400000000</v>
      </c>
      <c r="D13" s="79">
        <v>401000000</v>
      </c>
      <c r="E13" s="132">
        <v>400000000</v>
      </c>
      <c r="F13" s="80"/>
    </row>
    <row r="14" spans="1:6" s="68" customFormat="1" ht="24.75" customHeight="1">
      <c r="A14" s="77">
        <v>4</v>
      </c>
      <c r="B14" s="99" t="s">
        <v>163</v>
      </c>
      <c r="C14" s="79">
        <v>465000000</v>
      </c>
      <c r="D14" s="79">
        <v>464972000</v>
      </c>
      <c r="E14" s="132">
        <v>651000000</v>
      </c>
      <c r="F14" s="80"/>
    </row>
    <row r="15" spans="1:6" s="68" customFormat="1" ht="24.75" customHeight="1">
      <c r="A15" s="81">
        <v>5</v>
      </c>
      <c r="B15" s="100" t="s">
        <v>162</v>
      </c>
      <c r="C15" s="83">
        <v>200000000</v>
      </c>
      <c r="D15" s="83">
        <v>199028000</v>
      </c>
      <c r="E15" s="131">
        <v>350000000</v>
      </c>
      <c r="F15" s="84"/>
    </row>
    <row r="16" spans="1:6" s="87" customFormat="1" ht="36.75" hidden="1" customHeight="1">
      <c r="A16" s="69" t="s">
        <v>155</v>
      </c>
      <c r="B16" s="116" t="s">
        <v>17</v>
      </c>
      <c r="C16" s="71">
        <v>1528000000</v>
      </c>
      <c r="D16" s="88">
        <f>C16</f>
        <v>1528000000</v>
      </c>
      <c r="E16" s="129">
        <v>0</v>
      </c>
      <c r="F16" s="86"/>
    </row>
    <row r="17" spans="1:6" s="87" customFormat="1" ht="30.75" customHeight="1">
      <c r="A17" s="69" t="s">
        <v>155</v>
      </c>
      <c r="B17" s="116" t="s">
        <v>100</v>
      </c>
      <c r="C17" s="71">
        <v>800000000</v>
      </c>
      <c r="D17" s="88">
        <f>D18+D19</f>
        <v>800000000</v>
      </c>
      <c r="E17" s="129">
        <f>SUM(E18:E19)</f>
        <v>440000000</v>
      </c>
      <c r="F17" s="86"/>
    </row>
    <row r="18" spans="1:6" s="68" customFormat="1" ht="26.25" customHeight="1">
      <c r="A18" s="73">
        <v>1</v>
      </c>
      <c r="B18" s="98" t="s">
        <v>101</v>
      </c>
      <c r="C18" s="75">
        <v>500000000</v>
      </c>
      <c r="D18" s="75">
        <f>C17-D19</f>
        <v>606000000</v>
      </c>
      <c r="E18" s="130">
        <v>300000000</v>
      </c>
      <c r="F18" s="76"/>
    </row>
    <row r="19" spans="1:6" s="68" customFormat="1" ht="26.25" customHeight="1">
      <c r="A19" s="81">
        <v>2</v>
      </c>
      <c r="B19" s="100" t="s">
        <v>102</v>
      </c>
      <c r="C19" s="83">
        <v>300000000</v>
      </c>
      <c r="D19" s="83">
        <v>194000000</v>
      </c>
      <c r="E19" s="131">
        <v>140000000</v>
      </c>
      <c r="F19" s="84"/>
    </row>
    <row r="20" spans="1:6" s="68" customFormat="1" ht="27" customHeight="1">
      <c r="A20" s="69" t="s">
        <v>156</v>
      </c>
      <c r="B20" s="101" t="s">
        <v>103</v>
      </c>
      <c r="C20" s="89">
        <f>SUM(C21:C32)</f>
        <v>2500000000</v>
      </c>
      <c r="D20" s="89">
        <f>SUM(D21:D32)</f>
        <v>2500000000</v>
      </c>
      <c r="E20" s="90">
        <f>SUM(E21:E32)</f>
        <v>3080000000</v>
      </c>
      <c r="F20" s="91" t="s">
        <v>18</v>
      </c>
    </row>
    <row r="21" spans="1:6" s="68" customFormat="1" ht="25.5" customHeight="1">
      <c r="A21" s="117">
        <v>1</v>
      </c>
      <c r="B21" s="118" t="s">
        <v>104</v>
      </c>
      <c r="C21" s="92">
        <v>150000000</v>
      </c>
      <c r="D21" s="92">
        <v>154409000</v>
      </c>
      <c r="E21" s="93">
        <v>180000000</v>
      </c>
      <c r="F21" s="76"/>
    </row>
    <row r="22" spans="1:6" s="95" customFormat="1" ht="25.5" customHeight="1">
      <c r="A22" s="77">
        <v>2</v>
      </c>
      <c r="B22" s="99" t="s">
        <v>105</v>
      </c>
      <c r="C22" s="94">
        <v>350000000</v>
      </c>
      <c r="D22" s="94">
        <v>385117000</v>
      </c>
      <c r="E22" s="60">
        <v>450000000</v>
      </c>
      <c r="F22" s="80"/>
    </row>
    <row r="23" spans="1:6" s="95" customFormat="1" ht="38.25" customHeight="1">
      <c r="A23" s="77">
        <v>3</v>
      </c>
      <c r="B23" s="99" t="s">
        <v>106</v>
      </c>
      <c r="C23" s="94">
        <v>200000000</v>
      </c>
      <c r="D23" s="94">
        <v>124885000</v>
      </c>
      <c r="E23" s="60">
        <v>250000000</v>
      </c>
      <c r="F23" s="80"/>
    </row>
    <row r="24" spans="1:6" s="95" customFormat="1" ht="25.5" customHeight="1">
      <c r="A24" s="77">
        <v>4</v>
      </c>
      <c r="B24" s="99" t="s">
        <v>107</v>
      </c>
      <c r="C24" s="94">
        <v>200000000</v>
      </c>
      <c r="D24" s="94">
        <v>293628000</v>
      </c>
      <c r="E24" s="60">
        <v>250000000</v>
      </c>
      <c r="F24" s="80"/>
    </row>
    <row r="25" spans="1:6" s="95" customFormat="1" ht="25.5" customHeight="1">
      <c r="A25" s="77">
        <v>5</v>
      </c>
      <c r="B25" s="99" t="s">
        <v>108</v>
      </c>
      <c r="C25" s="94">
        <v>150000000</v>
      </c>
      <c r="D25" s="94">
        <v>149000000</v>
      </c>
      <c r="E25" s="60">
        <v>200000000</v>
      </c>
      <c r="F25" s="80"/>
    </row>
    <row r="26" spans="1:6" s="95" customFormat="1" ht="25.5" customHeight="1">
      <c r="A26" s="77">
        <v>6</v>
      </c>
      <c r="B26" s="99" t="s">
        <v>109</v>
      </c>
      <c r="C26" s="94">
        <v>350000000</v>
      </c>
      <c r="D26" s="94">
        <v>255000000</v>
      </c>
      <c r="E26" s="60">
        <v>350000000</v>
      </c>
      <c r="F26" s="80"/>
    </row>
    <row r="27" spans="1:6" s="95" customFormat="1" ht="25.5" customHeight="1">
      <c r="A27" s="77">
        <v>7</v>
      </c>
      <c r="B27" s="99" t="s">
        <v>110</v>
      </c>
      <c r="C27" s="94">
        <v>200000000</v>
      </c>
      <c r="D27" s="94">
        <v>348135000</v>
      </c>
      <c r="E27" s="60">
        <v>300000000</v>
      </c>
      <c r="F27" s="80"/>
    </row>
    <row r="28" spans="1:6" s="95" customFormat="1" ht="25.5" customHeight="1">
      <c r="A28" s="77">
        <v>8</v>
      </c>
      <c r="B28" s="99" t="s">
        <v>111</v>
      </c>
      <c r="C28" s="94">
        <v>200000000</v>
      </c>
      <c r="D28" s="94">
        <v>199143000</v>
      </c>
      <c r="E28" s="60">
        <v>200000000</v>
      </c>
      <c r="F28" s="80"/>
    </row>
    <row r="29" spans="1:6" s="95" customFormat="1" ht="25.5" customHeight="1">
      <c r="A29" s="77">
        <v>9</v>
      </c>
      <c r="B29" s="99" t="s">
        <v>112</v>
      </c>
      <c r="C29" s="94">
        <v>50000000</v>
      </c>
      <c r="D29" s="94">
        <v>103000000</v>
      </c>
      <c r="E29" s="60">
        <v>150000000</v>
      </c>
      <c r="F29" s="80"/>
    </row>
    <row r="30" spans="1:6" s="95" customFormat="1" ht="25.5" customHeight="1">
      <c r="A30" s="77">
        <v>10</v>
      </c>
      <c r="B30" s="99" t="s">
        <v>113</v>
      </c>
      <c r="C30" s="94">
        <v>100000000</v>
      </c>
      <c r="D30" s="94">
        <v>70839000</v>
      </c>
      <c r="E30" s="60">
        <v>150000000</v>
      </c>
      <c r="F30" s="80"/>
    </row>
    <row r="31" spans="1:6" s="95" customFormat="1" ht="25.5" customHeight="1">
      <c r="A31" s="77">
        <v>11</v>
      </c>
      <c r="B31" s="99" t="s">
        <v>114</v>
      </c>
      <c r="C31" s="94">
        <v>200000000</v>
      </c>
      <c r="D31" s="94">
        <v>141050000</v>
      </c>
      <c r="E31" s="60">
        <v>250000000</v>
      </c>
      <c r="F31" s="80"/>
    </row>
    <row r="32" spans="1:6" s="95" customFormat="1" ht="25.5" customHeight="1">
      <c r="A32" s="108">
        <v>12</v>
      </c>
      <c r="B32" s="119" t="s">
        <v>115</v>
      </c>
      <c r="C32" s="96">
        <v>350000000</v>
      </c>
      <c r="D32" s="96">
        <v>275794000</v>
      </c>
      <c r="E32" s="60">
        <v>350000000</v>
      </c>
      <c r="F32" s="84"/>
    </row>
    <row r="33" spans="1:6" s="95" customFormat="1" ht="40.5" customHeight="1">
      <c r="A33" s="69" t="s">
        <v>157</v>
      </c>
      <c r="B33" s="97" t="s">
        <v>116</v>
      </c>
      <c r="C33" s="71">
        <f>SUM(C34:C38)</f>
        <v>600000000</v>
      </c>
      <c r="D33" s="71">
        <f>SUM(D34:D38)</f>
        <v>600000000</v>
      </c>
      <c r="E33" s="71">
        <f>SUM(E34:E38)</f>
        <v>600000000</v>
      </c>
      <c r="F33" s="72"/>
    </row>
    <row r="34" spans="1:6" s="95" customFormat="1" ht="23.25" customHeight="1">
      <c r="A34" s="73">
        <v>1</v>
      </c>
      <c r="B34" s="98" t="s">
        <v>117</v>
      </c>
      <c r="C34" s="75">
        <v>120000000</v>
      </c>
      <c r="D34" s="75">
        <v>80000000</v>
      </c>
      <c r="E34" s="75">
        <v>120000000</v>
      </c>
      <c r="F34" s="76"/>
    </row>
    <row r="35" spans="1:6" s="95" customFormat="1" ht="23.25" customHeight="1">
      <c r="A35" s="77">
        <v>2</v>
      </c>
      <c r="B35" s="99" t="s">
        <v>118</v>
      </c>
      <c r="C35" s="79">
        <v>150000000</v>
      </c>
      <c r="D35" s="79">
        <v>190000000</v>
      </c>
      <c r="E35" s="79">
        <v>150000000</v>
      </c>
      <c r="F35" s="80"/>
    </row>
    <row r="36" spans="1:6" s="95" customFormat="1" ht="23.25" customHeight="1">
      <c r="A36" s="77">
        <v>3</v>
      </c>
      <c r="B36" s="99" t="s">
        <v>119</v>
      </c>
      <c r="C36" s="79">
        <v>150000000</v>
      </c>
      <c r="D36" s="79">
        <v>150000000</v>
      </c>
      <c r="E36" s="79">
        <v>150000000</v>
      </c>
      <c r="F36" s="80"/>
    </row>
    <row r="37" spans="1:6" s="95" customFormat="1" ht="23.25" customHeight="1">
      <c r="A37" s="77">
        <v>4</v>
      </c>
      <c r="B37" s="99" t="s">
        <v>120</v>
      </c>
      <c r="C37" s="79">
        <v>160000000</v>
      </c>
      <c r="D37" s="79">
        <v>160000000</v>
      </c>
      <c r="E37" s="79">
        <v>160000000</v>
      </c>
      <c r="F37" s="80"/>
    </row>
    <row r="38" spans="1:6" s="95" customFormat="1" ht="23.25" customHeight="1">
      <c r="A38" s="81">
        <v>5</v>
      </c>
      <c r="B38" s="100" t="s">
        <v>121</v>
      </c>
      <c r="C38" s="83">
        <v>20000000</v>
      </c>
      <c r="D38" s="83">
        <v>20000000</v>
      </c>
      <c r="E38" s="83">
        <v>20000000</v>
      </c>
      <c r="F38" s="84"/>
    </row>
    <row r="39" spans="1:6" s="95" customFormat="1" ht="21" customHeight="1">
      <c r="A39" s="69" t="s">
        <v>159</v>
      </c>
      <c r="B39" s="101" t="s">
        <v>122</v>
      </c>
      <c r="C39" s="71">
        <f>SUM(C40:C43)</f>
        <v>1550000000</v>
      </c>
      <c r="D39" s="71">
        <f>SUM(D40:D43)</f>
        <v>1550000000</v>
      </c>
      <c r="E39" s="71">
        <f>SUM(E40:E43)</f>
        <v>2370000000</v>
      </c>
      <c r="F39" s="72"/>
    </row>
    <row r="40" spans="1:6" s="95" customFormat="1" ht="21" customHeight="1">
      <c r="A40" s="120">
        <v>1</v>
      </c>
      <c r="B40" s="102" t="s">
        <v>86</v>
      </c>
      <c r="C40" s="103">
        <v>750000000</v>
      </c>
      <c r="D40" s="103">
        <v>758203000</v>
      </c>
      <c r="E40" s="60">
        <v>1320000000</v>
      </c>
      <c r="F40" s="76"/>
    </row>
    <row r="41" spans="1:6" s="95" customFormat="1" ht="21" customHeight="1">
      <c r="A41" s="77">
        <v>2</v>
      </c>
      <c r="B41" s="99" t="s">
        <v>87</v>
      </c>
      <c r="C41" s="94">
        <f>250000000</f>
        <v>250000000</v>
      </c>
      <c r="D41" s="94">
        <f>C41</f>
        <v>250000000</v>
      </c>
      <c r="E41" s="60">
        <v>300000000</v>
      </c>
      <c r="F41" s="80"/>
    </row>
    <row r="42" spans="1:6" s="95" customFormat="1" ht="21" customHeight="1">
      <c r="A42" s="77">
        <v>4</v>
      </c>
      <c r="B42" s="99" t="s">
        <v>34</v>
      </c>
      <c r="C42" s="94">
        <v>200000000</v>
      </c>
      <c r="D42" s="94">
        <v>200000000</v>
      </c>
      <c r="E42" s="60">
        <v>300000000</v>
      </c>
      <c r="F42" s="60"/>
    </row>
    <row r="43" spans="1:6" s="95" customFormat="1" ht="21" customHeight="1">
      <c r="A43" s="81">
        <v>5</v>
      </c>
      <c r="B43" s="100" t="s">
        <v>88</v>
      </c>
      <c r="C43" s="104">
        <v>350000000</v>
      </c>
      <c r="D43" s="104">
        <v>341797000</v>
      </c>
      <c r="E43" s="60">
        <v>450000000</v>
      </c>
      <c r="F43" s="84"/>
    </row>
    <row r="44" spans="1:6" s="95" customFormat="1" ht="33.75" customHeight="1">
      <c r="A44" s="69" t="s">
        <v>158</v>
      </c>
      <c r="B44" s="97" t="s">
        <v>172</v>
      </c>
      <c r="C44" s="71">
        <f>SUM(C45:C49)</f>
        <v>335200000</v>
      </c>
      <c r="D44" s="71">
        <f>SUM(D45:D49)</f>
        <v>335200000</v>
      </c>
      <c r="E44" s="71">
        <f>SUM(E45:E49)</f>
        <v>2610000000</v>
      </c>
      <c r="F44" s="72"/>
    </row>
    <row r="45" spans="1:6" s="95" customFormat="1" ht="37.5" customHeight="1">
      <c r="A45" s="73">
        <v>1</v>
      </c>
      <c r="B45" s="105" t="s">
        <v>85</v>
      </c>
      <c r="C45" s="106">
        <v>200000000</v>
      </c>
      <c r="D45" s="106">
        <v>200000000</v>
      </c>
      <c r="E45" s="75">
        <v>60000000</v>
      </c>
      <c r="F45" s="76"/>
    </row>
    <row r="46" spans="1:6" s="95" customFormat="1" ht="26.25" hidden="1" customHeight="1">
      <c r="A46" s="77">
        <v>2</v>
      </c>
      <c r="B46" s="107" t="s">
        <v>19</v>
      </c>
      <c r="C46" s="94">
        <v>60000000</v>
      </c>
      <c r="D46" s="94">
        <f>C46</f>
        <v>60000000</v>
      </c>
      <c r="E46" s="79">
        <v>0</v>
      </c>
      <c r="F46" s="80"/>
    </row>
    <row r="47" spans="1:6" s="95" customFormat="1" ht="34.5" customHeight="1">
      <c r="A47" s="77">
        <v>2</v>
      </c>
      <c r="B47" s="107" t="s">
        <v>20</v>
      </c>
      <c r="C47" s="94"/>
      <c r="D47" s="94"/>
      <c r="E47" s="79">
        <v>1900000000</v>
      </c>
      <c r="F47" s="80"/>
    </row>
    <row r="48" spans="1:6" s="95" customFormat="1" ht="21.75" customHeight="1">
      <c r="A48" s="108">
        <v>3</v>
      </c>
      <c r="B48" s="107" t="s">
        <v>22</v>
      </c>
      <c r="C48" s="96">
        <v>75200000</v>
      </c>
      <c r="D48" s="96">
        <f>C48</f>
        <v>75200000</v>
      </c>
      <c r="E48" s="109"/>
      <c r="F48" s="110"/>
    </row>
    <row r="49" spans="1:8" s="95" customFormat="1" ht="41.25" customHeight="1">
      <c r="A49" s="81">
        <v>4</v>
      </c>
      <c r="B49" s="111" t="s">
        <v>161</v>
      </c>
      <c r="C49" s="104"/>
      <c r="D49" s="104"/>
      <c r="E49" s="83">
        <v>650000000</v>
      </c>
      <c r="F49" s="84"/>
    </row>
    <row r="50" spans="1:8" s="123" customFormat="1" ht="28.5" customHeight="1">
      <c r="A50" s="121"/>
      <c r="B50" s="69" t="s">
        <v>152</v>
      </c>
      <c r="C50" s="122">
        <f>C6+C12+C17+C20+C33+C39+C44+C16</f>
        <v>9331200000</v>
      </c>
      <c r="D50" s="122">
        <f>D6+D12+D17+D20+D33+D39+D44+D16</f>
        <v>9331200000</v>
      </c>
      <c r="E50" s="122">
        <f>E6+E12+E17+E20+E33+E39+E44+E16</f>
        <v>12046000000</v>
      </c>
      <c r="F50" s="121"/>
    </row>
    <row r="51" spans="1:8" ht="22.5" customHeight="1">
      <c r="D51" s="112"/>
    </row>
    <row r="52" spans="1:8" s="64" customFormat="1" ht="18.75" hidden="1" customHeight="1">
      <c r="A52" s="63" t="s">
        <v>27</v>
      </c>
      <c r="C52" s="63" t="s">
        <v>26</v>
      </c>
      <c r="H52" s="63"/>
    </row>
    <row r="53" spans="1:8">
      <c r="C53" s="114"/>
    </row>
    <row r="57" spans="1:8">
      <c r="B57" s="113"/>
    </row>
  </sheetData>
  <mergeCells count="5">
    <mergeCell ref="F6:F11"/>
    <mergeCell ref="A1:F1"/>
    <mergeCell ref="A2:F2"/>
    <mergeCell ref="E4:F4"/>
    <mergeCell ref="A3:F3"/>
  </mergeCells>
  <phoneticPr fontId="5" type="noConversion"/>
  <pageMargins left="0.5" right="0" top="0.5" bottom="0.5" header="0.25" footer="0.25"/>
  <pageSetup paperSize="9" scale="95" orientation="portrait" verticalDpi="300" r:id="rId1"/>
  <headerFooter alignWithMargins="0">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47"/>
  <sheetViews>
    <sheetView topLeftCell="A4" workbookViewId="0">
      <selection activeCell="X4" sqref="X4"/>
    </sheetView>
  </sheetViews>
  <sheetFormatPr defaultColWidth="8.7109375" defaultRowHeight="15.75"/>
  <cols>
    <col min="1" max="1" width="0.5703125" style="135" customWidth="1"/>
    <col min="2" max="2" width="4" style="136" customWidth="1"/>
    <col min="3" max="3" width="1.5703125" style="135" customWidth="1"/>
    <col min="4" max="4" width="1" style="137" customWidth="1"/>
    <col min="5" max="5" width="1.42578125" style="135" customWidth="1"/>
    <col min="6" max="6" width="5.5703125" style="135" customWidth="1"/>
    <col min="7" max="7" width="1.85546875" style="135" customWidth="1"/>
    <col min="8" max="8" width="2.42578125" style="1" bestFit="1" customWidth="1"/>
    <col min="9" max="9" width="1.5703125" style="135" customWidth="1"/>
    <col min="10" max="10" width="2.7109375" style="135" bestFit="1" customWidth="1"/>
    <col min="11" max="16384" width="8.7109375" style="135"/>
  </cols>
  <sheetData>
    <row r="1" spans="1:12" ht="26.25" customHeight="1">
      <c r="A1" s="410" t="s">
        <v>39</v>
      </c>
      <c r="B1" s="410"/>
      <c r="C1" s="410"/>
      <c r="D1" s="410"/>
      <c r="E1" s="410"/>
      <c r="F1" s="410"/>
      <c r="G1" s="410"/>
      <c r="H1" s="410"/>
    </row>
    <row r="2" spans="1:12" ht="18" customHeight="1"/>
    <row r="3" spans="1:12" s="134" customFormat="1" ht="252">
      <c r="A3" s="138" t="s">
        <v>148</v>
      </c>
      <c r="B3" s="138" t="s">
        <v>168</v>
      </c>
      <c r="C3" s="138" t="s">
        <v>40</v>
      </c>
      <c r="D3" s="138" t="s">
        <v>41</v>
      </c>
      <c r="E3" s="138" t="s">
        <v>42</v>
      </c>
      <c r="F3" s="138" t="s">
        <v>43</v>
      </c>
      <c r="G3" s="138" t="s">
        <v>44</v>
      </c>
      <c r="H3" s="139" t="s">
        <v>45</v>
      </c>
      <c r="I3" s="138" t="s">
        <v>167</v>
      </c>
      <c r="J3" s="140"/>
      <c r="K3" s="140"/>
      <c r="L3" s="140"/>
    </row>
    <row r="4" spans="1:12" s="144" customFormat="1" ht="94.5">
      <c r="A4" s="138" t="s">
        <v>149</v>
      </c>
      <c r="B4" s="141" t="s">
        <v>46</v>
      </c>
      <c r="C4" s="138"/>
      <c r="D4" s="142"/>
      <c r="E4" s="138"/>
      <c r="F4" s="138"/>
      <c r="G4" s="138"/>
      <c r="H4" s="143">
        <f>SUM(H5:H8)</f>
        <v>1459740000</v>
      </c>
      <c r="I4" s="138"/>
      <c r="J4" s="140"/>
      <c r="K4" s="140"/>
      <c r="L4" s="140"/>
    </row>
    <row r="5" spans="1:12" ht="99.75" customHeight="1">
      <c r="A5" s="145">
        <v>1</v>
      </c>
      <c r="B5" s="146" t="s">
        <v>47</v>
      </c>
      <c r="C5" s="145" t="s">
        <v>48</v>
      </c>
      <c r="D5" s="147">
        <v>59</v>
      </c>
      <c r="E5" s="148" t="s">
        <v>49</v>
      </c>
      <c r="F5" s="149" t="s">
        <v>50</v>
      </c>
      <c r="G5" s="149" t="s">
        <v>51</v>
      </c>
      <c r="H5" s="150">
        <f>1260830000-405000000</f>
        <v>855830000</v>
      </c>
      <c r="I5" s="145" t="s">
        <v>52</v>
      </c>
      <c r="J5" s="151"/>
      <c r="K5" s="152"/>
      <c r="L5" s="152"/>
    </row>
    <row r="6" spans="1:12" ht="409.5">
      <c r="A6" s="145">
        <v>2</v>
      </c>
      <c r="B6" s="146" t="s">
        <v>53</v>
      </c>
      <c r="C6" s="153" t="s">
        <v>48</v>
      </c>
      <c r="D6" s="147">
        <v>16</v>
      </c>
      <c r="E6" s="148" t="s">
        <v>54</v>
      </c>
      <c r="F6" s="149" t="s">
        <v>55</v>
      </c>
      <c r="G6" s="149" t="s">
        <v>56</v>
      </c>
      <c r="H6" s="150">
        <v>122560000</v>
      </c>
      <c r="I6" s="145" t="s">
        <v>52</v>
      </c>
      <c r="J6" s="151"/>
      <c r="K6" s="152"/>
      <c r="L6" s="152"/>
    </row>
    <row r="7" spans="1:12" ht="409.5">
      <c r="A7" s="145">
        <v>3</v>
      </c>
      <c r="B7" s="146" t="s">
        <v>57</v>
      </c>
      <c r="C7" s="153" t="s">
        <v>48</v>
      </c>
      <c r="D7" s="147">
        <v>12</v>
      </c>
      <c r="E7" s="148" t="s">
        <v>54</v>
      </c>
      <c r="F7" s="149" t="s">
        <v>58</v>
      </c>
      <c r="G7" s="149" t="s">
        <v>59</v>
      </c>
      <c r="H7" s="150">
        <v>234480000</v>
      </c>
      <c r="I7" s="145" t="s">
        <v>52</v>
      </c>
      <c r="J7" s="154"/>
      <c r="K7" s="152"/>
      <c r="L7" s="152"/>
    </row>
    <row r="8" spans="1:12" ht="362.25">
      <c r="A8" s="145">
        <v>4</v>
      </c>
      <c r="B8" s="146" t="s">
        <v>60</v>
      </c>
      <c r="C8" s="153" t="s">
        <v>48</v>
      </c>
      <c r="D8" s="147"/>
      <c r="E8" s="148"/>
      <c r="F8" s="149"/>
      <c r="G8" s="149"/>
      <c r="H8" s="150">
        <f>247870000-1000000</f>
        <v>246870000</v>
      </c>
      <c r="I8" s="145"/>
      <c r="J8" s="154"/>
      <c r="K8" s="152"/>
      <c r="L8" s="152"/>
    </row>
    <row r="9" spans="1:12" s="144" customFormat="1" ht="78.75">
      <c r="A9" s="138" t="s">
        <v>150</v>
      </c>
      <c r="B9" s="141" t="s">
        <v>61</v>
      </c>
      <c r="C9" s="139"/>
      <c r="D9" s="155"/>
      <c r="E9" s="156"/>
      <c r="F9" s="156"/>
      <c r="G9" s="148"/>
      <c r="H9" s="157">
        <f>H10</f>
        <v>85260000</v>
      </c>
      <c r="I9" s="138"/>
      <c r="J9" s="140"/>
      <c r="K9" s="140"/>
      <c r="L9" s="140"/>
    </row>
    <row r="10" spans="1:12" ht="378">
      <c r="A10" s="145">
        <v>1</v>
      </c>
      <c r="B10" s="146" t="s">
        <v>62</v>
      </c>
      <c r="C10" s="153" t="s">
        <v>48</v>
      </c>
      <c r="D10" s="147">
        <v>2</v>
      </c>
      <c r="E10" s="148" t="s">
        <v>63</v>
      </c>
      <c r="F10" s="148" t="s">
        <v>64</v>
      </c>
      <c r="G10" s="148" t="s">
        <v>65</v>
      </c>
      <c r="H10" s="150">
        <v>85260000</v>
      </c>
      <c r="I10" s="145" t="s">
        <v>52</v>
      </c>
      <c r="J10" s="152"/>
      <c r="K10" s="152"/>
      <c r="L10" s="152"/>
    </row>
    <row r="11" spans="1:12" s="144" customFormat="1">
      <c r="A11" s="411" t="s">
        <v>66</v>
      </c>
      <c r="B11" s="412"/>
      <c r="C11" s="138"/>
      <c r="D11" s="155"/>
      <c r="E11" s="156"/>
      <c r="F11" s="156"/>
      <c r="G11" s="156"/>
      <c r="H11" s="157">
        <f>H4+H9</f>
        <v>1545000000</v>
      </c>
      <c r="I11" s="138"/>
      <c r="J11" s="158"/>
      <c r="K11" s="140"/>
      <c r="L11" s="140"/>
    </row>
    <row r="12" spans="1:12" ht="27" customHeight="1">
      <c r="A12" s="413"/>
      <c r="B12" s="414"/>
      <c r="C12" s="414"/>
      <c r="D12" s="414"/>
      <c r="E12" s="414"/>
      <c r="F12" s="414"/>
      <c r="G12" s="414"/>
      <c r="H12" s="414"/>
      <c r="I12" s="414"/>
      <c r="J12" s="159"/>
      <c r="K12" s="152"/>
      <c r="L12" s="152"/>
    </row>
    <row r="13" spans="1:12">
      <c r="A13" s="152"/>
      <c r="B13" s="160"/>
      <c r="C13" s="152"/>
      <c r="D13" s="161"/>
      <c r="E13" s="154"/>
      <c r="F13" s="154"/>
      <c r="G13" s="154"/>
      <c r="H13" s="162"/>
      <c r="I13" s="152"/>
      <c r="J13" s="152"/>
      <c r="K13" s="152"/>
      <c r="L13" s="152"/>
    </row>
    <row r="14" spans="1:12">
      <c r="A14" s="152"/>
      <c r="B14" s="160"/>
      <c r="C14" s="152"/>
      <c r="D14" s="161"/>
      <c r="E14" s="154"/>
      <c r="F14" s="154"/>
      <c r="G14" s="154"/>
      <c r="H14" s="162"/>
      <c r="I14" s="152"/>
      <c r="J14" s="152"/>
      <c r="K14" s="152"/>
      <c r="L14" s="152"/>
    </row>
    <row r="15" spans="1:12">
      <c r="A15" s="152"/>
      <c r="B15" s="160"/>
      <c r="C15" s="152"/>
      <c r="D15" s="161"/>
      <c r="E15" s="154"/>
      <c r="F15" s="154"/>
      <c r="G15" s="154"/>
      <c r="H15" s="162"/>
      <c r="I15" s="152"/>
      <c r="J15" s="152"/>
      <c r="K15" s="152"/>
      <c r="L15" s="152"/>
    </row>
    <row r="16" spans="1:12">
      <c r="A16" s="152"/>
      <c r="B16" s="160"/>
      <c r="C16" s="152"/>
      <c r="D16" s="161"/>
      <c r="E16" s="154"/>
      <c r="F16" s="154"/>
      <c r="G16" s="154"/>
      <c r="H16" s="162"/>
      <c r="I16" s="152"/>
      <c r="J16" s="152"/>
      <c r="K16" s="152"/>
      <c r="L16" s="152"/>
    </row>
    <row r="17" spans="1:12">
      <c r="A17" s="152"/>
      <c r="B17" s="160"/>
      <c r="C17" s="152"/>
      <c r="D17" s="161"/>
      <c r="E17" s="154"/>
      <c r="F17" s="154"/>
      <c r="G17" s="154"/>
      <c r="H17" s="162"/>
      <c r="I17" s="152"/>
      <c r="J17" s="152"/>
      <c r="K17" s="152"/>
      <c r="L17" s="152"/>
    </row>
    <row r="18" spans="1:12">
      <c r="A18" s="152"/>
      <c r="B18" s="160"/>
      <c r="C18" s="152"/>
      <c r="D18" s="161"/>
      <c r="E18" s="154"/>
      <c r="F18" s="154"/>
      <c r="G18" s="154"/>
      <c r="H18" s="162"/>
      <c r="I18" s="152"/>
      <c r="J18" s="152"/>
      <c r="K18" s="152"/>
      <c r="L18" s="152"/>
    </row>
    <row r="19" spans="1:12">
      <c r="A19" s="152"/>
      <c r="B19" s="160"/>
      <c r="C19" s="152"/>
      <c r="D19" s="161"/>
      <c r="E19" s="154"/>
      <c r="F19" s="154"/>
      <c r="G19" s="154"/>
      <c r="H19" s="162"/>
      <c r="I19" s="152"/>
      <c r="J19" s="152"/>
      <c r="K19" s="152"/>
      <c r="L19" s="152"/>
    </row>
    <row r="20" spans="1:12">
      <c r="A20" s="152"/>
      <c r="B20" s="160"/>
      <c r="C20" s="152"/>
      <c r="D20" s="161"/>
      <c r="E20" s="154"/>
      <c r="F20" s="154"/>
      <c r="G20" s="154"/>
      <c r="H20" s="162"/>
      <c r="I20" s="152"/>
      <c r="J20" s="152"/>
      <c r="K20" s="152"/>
      <c r="L20" s="152"/>
    </row>
    <row r="21" spans="1:12">
      <c r="A21" s="152"/>
      <c r="B21" s="160"/>
      <c r="C21" s="152"/>
      <c r="D21" s="161"/>
      <c r="E21" s="154"/>
      <c r="F21" s="154"/>
      <c r="G21" s="154"/>
      <c r="H21" s="162"/>
      <c r="I21" s="152"/>
      <c r="J21" s="152"/>
      <c r="K21" s="152"/>
      <c r="L21" s="152"/>
    </row>
    <row r="22" spans="1:12">
      <c r="A22" s="152"/>
      <c r="B22" s="160"/>
      <c r="C22" s="152"/>
      <c r="D22" s="161"/>
      <c r="E22" s="154"/>
      <c r="F22" s="154"/>
      <c r="G22" s="154"/>
      <c r="H22" s="162"/>
      <c r="I22" s="152"/>
      <c r="J22" s="152"/>
      <c r="K22" s="152"/>
      <c r="L22" s="152"/>
    </row>
    <row r="23" spans="1:12">
      <c r="A23" s="152"/>
      <c r="B23" s="160"/>
      <c r="C23" s="152"/>
      <c r="D23" s="161"/>
      <c r="E23" s="154"/>
      <c r="F23" s="154"/>
      <c r="G23" s="154"/>
      <c r="H23" s="162"/>
      <c r="I23" s="152"/>
      <c r="J23" s="152"/>
      <c r="K23" s="152"/>
      <c r="L23" s="152"/>
    </row>
    <row r="24" spans="1:12">
      <c r="A24" s="152"/>
      <c r="B24" s="160"/>
      <c r="C24" s="152"/>
      <c r="D24" s="161"/>
      <c r="E24" s="154"/>
      <c r="F24" s="154"/>
      <c r="G24" s="154"/>
      <c r="H24" s="162"/>
      <c r="I24" s="152"/>
      <c r="J24" s="152"/>
      <c r="K24" s="152"/>
      <c r="L24" s="152"/>
    </row>
    <row r="25" spans="1:12">
      <c r="A25" s="152"/>
      <c r="B25" s="160"/>
      <c r="C25" s="152"/>
      <c r="D25" s="161"/>
      <c r="E25" s="154"/>
      <c r="F25" s="154"/>
      <c r="G25" s="154"/>
      <c r="H25" s="162"/>
      <c r="I25" s="152"/>
      <c r="J25" s="152"/>
      <c r="K25" s="152"/>
      <c r="L25" s="152"/>
    </row>
    <row r="26" spans="1:12">
      <c r="A26" s="152"/>
      <c r="B26" s="160"/>
      <c r="C26" s="152"/>
      <c r="D26" s="161"/>
      <c r="E26" s="154"/>
      <c r="F26" s="154"/>
      <c r="G26" s="154"/>
      <c r="H26" s="162"/>
      <c r="I26" s="152"/>
      <c r="J26" s="152"/>
      <c r="K26" s="152"/>
      <c r="L26" s="152"/>
    </row>
    <row r="27" spans="1:12">
      <c r="A27" s="152"/>
      <c r="B27" s="160"/>
      <c r="C27" s="152"/>
      <c r="D27" s="161"/>
      <c r="E27" s="154"/>
      <c r="F27" s="154"/>
      <c r="G27" s="154"/>
      <c r="H27" s="162"/>
      <c r="I27" s="152"/>
      <c r="J27" s="152"/>
      <c r="K27" s="152"/>
      <c r="L27" s="152"/>
    </row>
    <row r="28" spans="1:12">
      <c r="A28" s="152"/>
      <c r="B28" s="160"/>
      <c r="C28" s="152"/>
      <c r="D28" s="161"/>
      <c r="E28" s="154"/>
      <c r="F28" s="154"/>
      <c r="G28" s="154"/>
      <c r="H28" s="162"/>
      <c r="I28" s="152"/>
      <c r="J28" s="152"/>
      <c r="K28" s="152"/>
      <c r="L28" s="152"/>
    </row>
    <row r="29" spans="1:12">
      <c r="A29" s="152"/>
      <c r="B29" s="160"/>
      <c r="C29" s="152"/>
      <c r="D29" s="161"/>
      <c r="E29" s="154"/>
      <c r="F29" s="154"/>
      <c r="G29" s="154"/>
      <c r="H29" s="162"/>
      <c r="I29" s="152"/>
      <c r="J29" s="152"/>
      <c r="K29" s="152"/>
      <c r="L29" s="152"/>
    </row>
    <row r="30" spans="1:12">
      <c r="A30" s="152"/>
      <c r="B30" s="160"/>
      <c r="C30" s="152"/>
      <c r="D30" s="161"/>
      <c r="E30" s="154"/>
      <c r="F30" s="154"/>
      <c r="G30" s="154"/>
      <c r="H30" s="162"/>
      <c r="I30" s="152"/>
      <c r="J30" s="152"/>
      <c r="K30" s="152"/>
      <c r="L30" s="152"/>
    </row>
    <row r="31" spans="1:12">
      <c r="A31" s="152"/>
      <c r="B31" s="160"/>
      <c r="C31" s="152"/>
      <c r="D31" s="161"/>
      <c r="E31" s="154"/>
      <c r="F31" s="154"/>
      <c r="G31" s="154"/>
      <c r="H31" s="162"/>
      <c r="I31" s="152"/>
      <c r="J31" s="152"/>
      <c r="K31" s="152"/>
      <c r="L31" s="152"/>
    </row>
    <row r="32" spans="1:12">
      <c r="A32" s="152"/>
      <c r="B32" s="160"/>
      <c r="C32" s="152"/>
      <c r="D32" s="161"/>
      <c r="E32" s="154"/>
      <c r="F32" s="154"/>
      <c r="G32" s="154"/>
      <c r="H32" s="162"/>
      <c r="I32" s="152"/>
      <c r="J32" s="152"/>
      <c r="K32" s="152"/>
      <c r="L32" s="152"/>
    </row>
    <row r="33" spans="1:12">
      <c r="A33" s="152"/>
      <c r="B33" s="160"/>
      <c r="C33" s="152"/>
      <c r="D33" s="161"/>
      <c r="E33" s="154"/>
      <c r="F33" s="154"/>
      <c r="G33" s="154"/>
      <c r="H33" s="162"/>
      <c r="I33" s="152"/>
      <c r="J33" s="152"/>
      <c r="K33" s="152"/>
      <c r="L33" s="152"/>
    </row>
    <row r="34" spans="1:12">
      <c r="A34" s="152"/>
      <c r="B34" s="160"/>
      <c r="C34" s="152"/>
      <c r="D34" s="161"/>
      <c r="E34" s="154"/>
      <c r="F34" s="154"/>
      <c r="G34" s="154"/>
      <c r="H34" s="162"/>
      <c r="I34" s="152"/>
      <c r="J34" s="152"/>
      <c r="K34" s="152"/>
      <c r="L34" s="152"/>
    </row>
    <row r="35" spans="1:12">
      <c r="A35" s="152"/>
      <c r="B35" s="160"/>
      <c r="C35" s="152"/>
      <c r="D35" s="161"/>
      <c r="E35" s="154"/>
      <c r="F35" s="154"/>
      <c r="G35" s="154"/>
      <c r="H35" s="162"/>
      <c r="I35" s="152"/>
      <c r="J35" s="152"/>
      <c r="K35" s="152"/>
      <c r="L35" s="152"/>
    </row>
    <row r="36" spans="1:12">
      <c r="A36" s="152"/>
      <c r="B36" s="160"/>
      <c r="C36" s="152"/>
      <c r="D36" s="161"/>
      <c r="E36" s="154"/>
      <c r="F36" s="154"/>
      <c r="G36" s="154"/>
      <c r="H36" s="162"/>
      <c r="I36" s="152"/>
      <c r="J36" s="152"/>
      <c r="K36" s="152"/>
      <c r="L36" s="152"/>
    </row>
    <row r="37" spans="1:12">
      <c r="A37" s="152"/>
      <c r="B37" s="160"/>
      <c r="C37" s="152"/>
      <c r="D37" s="161"/>
      <c r="E37" s="154"/>
      <c r="F37" s="154"/>
      <c r="G37" s="154"/>
      <c r="H37" s="162"/>
      <c r="I37" s="152"/>
      <c r="J37" s="152"/>
      <c r="K37" s="152"/>
      <c r="L37" s="152"/>
    </row>
    <row r="38" spans="1:12">
      <c r="A38" s="152"/>
      <c r="B38" s="160"/>
      <c r="C38" s="152"/>
      <c r="D38" s="161"/>
      <c r="E38" s="154"/>
      <c r="F38" s="154"/>
      <c r="G38" s="154"/>
      <c r="H38" s="162"/>
      <c r="I38" s="152"/>
      <c r="J38" s="152"/>
      <c r="K38" s="152"/>
      <c r="L38" s="152"/>
    </row>
    <row r="39" spans="1:12">
      <c r="A39" s="152"/>
      <c r="B39" s="160"/>
      <c r="C39" s="152"/>
      <c r="D39" s="161"/>
      <c r="E39" s="154"/>
      <c r="F39" s="154"/>
      <c r="G39" s="154"/>
      <c r="H39" s="162"/>
      <c r="I39" s="152"/>
      <c r="J39" s="152"/>
      <c r="K39" s="152"/>
      <c r="L39" s="152"/>
    </row>
    <row r="40" spans="1:12">
      <c r="A40" s="152"/>
      <c r="B40" s="160"/>
      <c r="C40" s="152"/>
      <c r="D40" s="161"/>
      <c r="E40" s="154"/>
      <c r="F40" s="154"/>
      <c r="G40" s="154"/>
      <c r="H40" s="162"/>
      <c r="I40" s="152"/>
      <c r="J40" s="152"/>
      <c r="K40" s="152"/>
      <c r="L40" s="152"/>
    </row>
    <row r="41" spans="1:12">
      <c r="A41" s="152"/>
      <c r="B41" s="160"/>
      <c r="C41" s="152"/>
      <c r="D41" s="161"/>
      <c r="E41" s="154"/>
      <c r="F41" s="154"/>
      <c r="G41" s="154"/>
      <c r="H41" s="162"/>
      <c r="I41" s="152"/>
      <c r="J41" s="152"/>
      <c r="K41" s="152"/>
      <c r="L41" s="152"/>
    </row>
    <row r="42" spans="1:12">
      <c r="A42" s="152"/>
      <c r="B42" s="160"/>
      <c r="C42" s="152"/>
      <c r="D42" s="161"/>
      <c r="E42" s="154"/>
      <c r="F42" s="154"/>
      <c r="G42" s="154"/>
      <c r="H42" s="162"/>
      <c r="I42" s="152"/>
      <c r="J42" s="152"/>
      <c r="K42" s="152"/>
      <c r="L42" s="152"/>
    </row>
    <row r="43" spans="1:12">
      <c r="A43" s="152"/>
      <c r="B43" s="160"/>
      <c r="C43" s="152"/>
      <c r="D43" s="161"/>
      <c r="E43" s="154"/>
      <c r="F43" s="154"/>
      <c r="G43" s="154"/>
      <c r="H43" s="162"/>
      <c r="I43" s="152"/>
      <c r="J43" s="152"/>
      <c r="K43" s="152"/>
      <c r="L43" s="152"/>
    </row>
    <row r="44" spans="1:12">
      <c r="A44" s="152"/>
      <c r="B44" s="160"/>
      <c r="C44" s="152"/>
      <c r="D44" s="161"/>
      <c r="E44" s="154"/>
      <c r="F44" s="154"/>
      <c r="G44" s="154"/>
      <c r="H44" s="162"/>
      <c r="I44" s="152"/>
      <c r="J44" s="152"/>
      <c r="K44" s="152"/>
      <c r="L44" s="152"/>
    </row>
    <row r="45" spans="1:12">
      <c r="A45" s="152"/>
      <c r="B45" s="160"/>
      <c r="C45" s="152"/>
      <c r="D45" s="161"/>
      <c r="E45" s="154"/>
      <c r="F45" s="154"/>
      <c r="G45" s="154"/>
      <c r="H45" s="162"/>
      <c r="I45" s="152"/>
      <c r="J45" s="152"/>
      <c r="K45" s="152"/>
      <c r="L45" s="152"/>
    </row>
    <row r="46" spans="1:12">
      <c r="A46" s="152"/>
      <c r="B46" s="160"/>
      <c r="C46" s="152"/>
      <c r="D46" s="161"/>
      <c r="E46" s="154"/>
      <c r="F46" s="154"/>
      <c r="G46" s="154"/>
      <c r="H46" s="162"/>
      <c r="I46" s="152"/>
      <c r="J46" s="152"/>
      <c r="K46" s="152"/>
      <c r="L46" s="152"/>
    </row>
    <row r="47" spans="1:12">
      <c r="A47" s="152"/>
      <c r="B47" s="160"/>
      <c r="C47" s="152"/>
      <c r="D47" s="161"/>
      <c r="E47" s="154"/>
      <c r="F47" s="154"/>
      <c r="G47" s="154"/>
      <c r="H47" s="162"/>
      <c r="I47" s="152"/>
      <c r="J47" s="152"/>
      <c r="K47" s="152"/>
      <c r="L47" s="152"/>
    </row>
    <row r="48" spans="1:12">
      <c r="A48" s="152"/>
      <c r="B48" s="160"/>
      <c r="C48" s="152"/>
      <c r="D48" s="161"/>
      <c r="E48" s="154"/>
      <c r="F48" s="154"/>
      <c r="G48" s="154"/>
      <c r="H48" s="162"/>
      <c r="I48" s="152"/>
      <c r="J48" s="152"/>
      <c r="K48" s="152"/>
      <c r="L48" s="152"/>
    </row>
    <row r="49" spans="1:12">
      <c r="A49" s="152"/>
      <c r="B49" s="160"/>
      <c r="C49" s="152"/>
      <c r="D49" s="161"/>
      <c r="E49" s="154"/>
      <c r="F49" s="154"/>
      <c r="G49" s="154"/>
      <c r="H49" s="162"/>
      <c r="I49" s="152"/>
      <c r="J49" s="152"/>
      <c r="K49" s="152"/>
      <c r="L49" s="152"/>
    </row>
    <row r="50" spans="1:12">
      <c r="A50" s="152"/>
      <c r="B50" s="160"/>
      <c r="C50" s="152"/>
      <c r="D50" s="161"/>
      <c r="E50" s="154"/>
      <c r="F50" s="154"/>
      <c r="G50" s="154"/>
      <c r="H50" s="162"/>
      <c r="I50" s="152"/>
      <c r="J50" s="152"/>
      <c r="K50" s="152"/>
      <c r="L50" s="152"/>
    </row>
    <row r="51" spans="1:12">
      <c r="A51" s="152"/>
      <c r="B51" s="160"/>
      <c r="C51" s="152"/>
      <c r="D51" s="161"/>
      <c r="E51" s="154"/>
      <c r="F51" s="154"/>
      <c r="G51" s="154"/>
      <c r="H51" s="162"/>
      <c r="I51" s="152"/>
      <c r="J51" s="152"/>
      <c r="K51" s="152"/>
      <c r="L51" s="152"/>
    </row>
    <row r="52" spans="1:12">
      <c r="A52" s="152"/>
      <c r="B52" s="160"/>
      <c r="C52" s="152"/>
      <c r="D52" s="161"/>
      <c r="E52" s="154"/>
      <c r="F52" s="154"/>
      <c r="G52" s="154"/>
      <c r="H52" s="162"/>
      <c r="I52" s="152"/>
      <c r="J52" s="152"/>
      <c r="K52" s="152"/>
      <c r="L52" s="152"/>
    </row>
    <row r="53" spans="1:12">
      <c r="A53" s="152"/>
      <c r="B53" s="160"/>
      <c r="C53" s="152"/>
      <c r="D53" s="161"/>
      <c r="E53" s="154"/>
      <c r="F53" s="154"/>
      <c r="G53" s="154"/>
      <c r="H53" s="162"/>
      <c r="I53" s="152"/>
      <c r="J53" s="152"/>
      <c r="K53" s="152"/>
      <c r="L53" s="152"/>
    </row>
    <row r="54" spans="1:12">
      <c r="A54" s="152"/>
      <c r="B54" s="160"/>
      <c r="C54" s="152"/>
      <c r="D54" s="161"/>
      <c r="E54" s="154"/>
      <c r="F54" s="154"/>
      <c r="G54" s="154"/>
      <c r="H54" s="162"/>
      <c r="I54" s="152"/>
      <c r="J54" s="152"/>
      <c r="K54" s="152"/>
      <c r="L54" s="152"/>
    </row>
    <row r="55" spans="1:12">
      <c r="A55" s="152"/>
      <c r="B55" s="160"/>
      <c r="C55" s="152"/>
      <c r="D55" s="161"/>
      <c r="E55" s="154"/>
      <c r="F55" s="154"/>
      <c r="G55" s="154"/>
      <c r="H55" s="162"/>
      <c r="I55" s="152"/>
      <c r="J55" s="152"/>
      <c r="K55" s="152"/>
      <c r="L55" s="152"/>
    </row>
    <row r="56" spans="1:12">
      <c r="A56" s="152"/>
      <c r="B56" s="160"/>
      <c r="C56" s="152"/>
      <c r="D56" s="161"/>
      <c r="E56" s="154"/>
      <c r="F56" s="154"/>
      <c r="G56" s="154"/>
      <c r="H56" s="162"/>
      <c r="I56" s="152"/>
      <c r="J56" s="152"/>
      <c r="K56" s="152"/>
      <c r="L56" s="152"/>
    </row>
    <row r="57" spans="1:12">
      <c r="A57" s="152"/>
      <c r="B57" s="160"/>
      <c r="C57" s="152"/>
      <c r="D57" s="161"/>
      <c r="E57" s="154"/>
      <c r="F57" s="154"/>
      <c r="G57" s="154"/>
      <c r="H57" s="162"/>
      <c r="I57" s="152"/>
      <c r="J57" s="152"/>
      <c r="K57" s="152"/>
      <c r="L57" s="152"/>
    </row>
    <row r="58" spans="1:12">
      <c r="A58" s="152"/>
      <c r="B58" s="160"/>
      <c r="C58" s="152"/>
      <c r="D58" s="161"/>
      <c r="E58" s="154"/>
      <c r="F58" s="154"/>
      <c r="G58" s="154"/>
      <c r="H58" s="162"/>
      <c r="I58" s="152"/>
      <c r="J58" s="152"/>
      <c r="K58" s="152"/>
      <c r="L58" s="152"/>
    </row>
    <row r="59" spans="1:12">
      <c r="A59" s="152"/>
      <c r="B59" s="160"/>
      <c r="C59" s="152"/>
      <c r="D59" s="161"/>
      <c r="E59" s="154"/>
      <c r="F59" s="154"/>
      <c r="G59" s="154"/>
      <c r="H59" s="162"/>
      <c r="I59" s="152"/>
      <c r="J59" s="152"/>
      <c r="K59" s="152"/>
      <c r="L59" s="152"/>
    </row>
    <row r="60" spans="1:12">
      <c r="A60" s="152"/>
      <c r="B60" s="160"/>
      <c r="C60" s="152"/>
      <c r="D60" s="161"/>
      <c r="E60" s="154"/>
      <c r="F60" s="154"/>
      <c r="G60" s="154"/>
      <c r="H60" s="162"/>
      <c r="I60" s="152"/>
      <c r="J60" s="152"/>
      <c r="K60" s="152"/>
      <c r="L60" s="152"/>
    </row>
    <row r="61" spans="1:12">
      <c r="A61" s="152"/>
      <c r="B61" s="160"/>
      <c r="C61" s="152"/>
      <c r="D61" s="161"/>
      <c r="E61" s="154"/>
      <c r="F61" s="154"/>
      <c r="G61" s="154"/>
      <c r="H61" s="162"/>
      <c r="I61" s="152"/>
      <c r="J61" s="152"/>
      <c r="K61" s="152"/>
      <c r="L61" s="152"/>
    </row>
    <row r="62" spans="1:12">
      <c r="A62" s="152"/>
      <c r="B62" s="160"/>
      <c r="C62" s="152"/>
      <c r="D62" s="161"/>
      <c r="E62" s="154"/>
      <c r="F62" s="154"/>
      <c r="G62" s="154"/>
      <c r="H62" s="162"/>
      <c r="I62" s="152"/>
      <c r="J62" s="152"/>
      <c r="K62" s="152"/>
      <c r="L62" s="152"/>
    </row>
    <row r="63" spans="1:12">
      <c r="A63" s="152"/>
      <c r="B63" s="160"/>
      <c r="C63" s="152"/>
      <c r="D63" s="161"/>
      <c r="E63" s="154"/>
      <c r="F63" s="154"/>
      <c r="G63" s="154"/>
      <c r="H63" s="162"/>
      <c r="I63" s="152"/>
      <c r="J63" s="152"/>
      <c r="K63" s="152"/>
      <c r="L63" s="152"/>
    </row>
    <row r="64" spans="1:12">
      <c r="A64" s="152"/>
      <c r="B64" s="160"/>
      <c r="C64" s="152"/>
      <c r="D64" s="161"/>
      <c r="E64" s="154"/>
      <c r="F64" s="154"/>
      <c r="G64" s="154"/>
      <c r="H64" s="162"/>
      <c r="I64" s="152"/>
      <c r="J64" s="152"/>
      <c r="K64" s="152"/>
      <c r="L64" s="152"/>
    </row>
    <row r="65" spans="1:12">
      <c r="A65" s="152"/>
      <c r="B65" s="160"/>
      <c r="C65" s="152"/>
      <c r="D65" s="161"/>
      <c r="E65" s="154"/>
      <c r="F65" s="154"/>
      <c r="G65" s="154"/>
      <c r="H65" s="162"/>
      <c r="I65" s="152"/>
      <c r="J65" s="152"/>
      <c r="K65" s="152"/>
      <c r="L65" s="152"/>
    </row>
    <row r="66" spans="1:12">
      <c r="A66" s="152"/>
      <c r="B66" s="160"/>
      <c r="C66" s="152"/>
      <c r="D66" s="161"/>
      <c r="E66" s="154"/>
      <c r="F66" s="154"/>
      <c r="G66" s="154"/>
      <c r="H66" s="162"/>
      <c r="I66" s="152"/>
      <c r="J66" s="152"/>
      <c r="K66" s="152"/>
      <c r="L66" s="152"/>
    </row>
    <row r="67" spans="1:12">
      <c r="A67" s="152"/>
      <c r="B67" s="160"/>
      <c r="C67" s="152"/>
      <c r="D67" s="161"/>
      <c r="E67" s="154"/>
      <c r="F67" s="154"/>
      <c r="G67" s="154"/>
      <c r="H67" s="162"/>
      <c r="I67" s="152"/>
      <c r="J67" s="152"/>
      <c r="K67" s="152"/>
      <c r="L67" s="152"/>
    </row>
    <row r="68" spans="1:12">
      <c r="A68" s="152"/>
      <c r="B68" s="160"/>
      <c r="C68" s="152"/>
      <c r="D68" s="161"/>
      <c r="E68" s="154"/>
      <c r="F68" s="154"/>
      <c r="G68" s="154"/>
      <c r="H68" s="162"/>
      <c r="I68" s="152"/>
      <c r="J68" s="152"/>
      <c r="K68" s="152"/>
      <c r="L68" s="152"/>
    </row>
    <row r="69" spans="1:12">
      <c r="A69" s="152"/>
      <c r="B69" s="160"/>
      <c r="C69" s="152"/>
      <c r="D69" s="161"/>
      <c r="E69" s="154"/>
      <c r="F69" s="154"/>
      <c r="G69" s="154"/>
      <c r="H69" s="162"/>
      <c r="I69" s="152"/>
      <c r="J69" s="152"/>
      <c r="K69" s="152"/>
      <c r="L69" s="152"/>
    </row>
    <row r="70" spans="1:12">
      <c r="A70" s="152"/>
      <c r="B70" s="160"/>
      <c r="C70" s="152"/>
      <c r="D70" s="161"/>
      <c r="E70" s="154"/>
      <c r="F70" s="154"/>
      <c r="G70" s="154"/>
      <c r="H70" s="162"/>
      <c r="I70" s="152"/>
      <c r="J70" s="152"/>
      <c r="K70" s="152"/>
      <c r="L70" s="152"/>
    </row>
    <row r="71" spans="1:12">
      <c r="A71" s="152"/>
      <c r="B71" s="160"/>
      <c r="C71" s="152"/>
      <c r="D71" s="161"/>
      <c r="E71" s="154"/>
      <c r="F71" s="154"/>
      <c r="G71" s="154"/>
      <c r="H71" s="162"/>
      <c r="I71" s="152"/>
      <c r="J71" s="152"/>
      <c r="K71" s="152"/>
      <c r="L71" s="152"/>
    </row>
    <row r="72" spans="1:12">
      <c r="A72" s="152"/>
      <c r="B72" s="160"/>
      <c r="C72" s="152"/>
      <c r="D72" s="161"/>
      <c r="E72" s="154"/>
      <c r="F72" s="154"/>
      <c r="G72" s="154"/>
      <c r="H72" s="162"/>
      <c r="I72" s="152"/>
      <c r="J72" s="152"/>
      <c r="K72" s="152"/>
      <c r="L72" s="152"/>
    </row>
    <row r="73" spans="1:12">
      <c r="A73" s="152"/>
      <c r="B73" s="160"/>
      <c r="C73" s="152"/>
      <c r="D73" s="163"/>
      <c r="E73" s="152"/>
      <c r="F73" s="152"/>
      <c r="G73" s="152"/>
      <c r="H73" s="164"/>
      <c r="I73" s="152"/>
      <c r="J73" s="152"/>
      <c r="K73" s="152"/>
      <c r="L73" s="152"/>
    </row>
    <row r="74" spans="1:12">
      <c r="A74" s="152"/>
      <c r="B74" s="160"/>
      <c r="C74" s="152"/>
      <c r="D74" s="163"/>
      <c r="E74" s="152"/>
      <c r="F74" s="152"/>
      <c r="G74" s="152"/>
      <c r="H74" s="164"/>
      <c r="I74" s="152"/>
      <c r="J74" s="152"/>
      <c r="K74" s="152"/>
      <c r="L74" s="152"/>
    </row>
    <row r="75" spans="1:12">
      <c r="A75" s="152"/>
      <c r="B75" s="160"/>
      <c r="C75" s="152"/>
      <c r="D75" s="163"/>
      <c r="E75" s="152"/>
      <c r="F75" s="152"/>
      <c r="G75" s="152"/>
      <c r="H75" s="164"/>
      <c r="I75" s="152"/>
      <c r="J75" s="152"/>
      <c r="K75" s="152"/>
      <c r="L75" s="152"/>
    </row>
    <row r="76" spans="1:12">
      <c r="A76" s="152"/>
      <c r="B76" s="160"/>
      <c r="C76" s="152"/>
      <c r="D76" s="163"/>
      <c r="E76" s="152"/>
      <c r="F76" s="152"/>
      <c r="G76" s="152"/>
      <c r="H76" s="164"/>
      <c r="I76" s="152"/>
      <c r="J76" s="152"/>
      <c r="K76" s="152"/>
      <c r="L76" s="152"/>
    </row>
    <row r="77" spans="1:12">
      <c r="A77" s="152"/>
      <c r="B77" s="160"/>
      <c r="C77" s="152"/>
      <c r="D77" s="163"/>
      <c r="E77" s="152"/>
      <c r="F77" s="152"/>
      <c r="G77" s="152"/>
      <c r="H77" s="164"/>
      <c r="I77" s="152"/>
      <c r="J77" s="152"/>
      <c r="K77" s="152"/>
      <c r="L77" s="152"/>
    </row>
    <row r="78" spans="1:12">
      <c r="A78" s="152"/>
      <c r="B78" s="160"/>
      <c r="C78" s="152"/>
      <c r="D78" s="163"/>
      <c r="E78" s="152"/>
      <c r="F78" s="152"/>
      <c r="G78" s="152"/>
      <c r="H78" s="164"/>
      <c r="I78" s="152"/>
      <c r="J78" s="152"/>
      <c r="K78" s="152"/>
      <c r="L78" s="152"/>
    </row>
    <row r="79" spans="1:12">
      <c r="A79" s="152"/>
      <c r="B79" s="160"/>
      <c r="C79" s="152"/>
      <c r="D79" s="163"/>
      <c r="E79" s="152"/>
      <c r="F79" s="152"/>
      <c r="G79" s="152"/>
      <c r="H79" s="164"/>
      <c r="I79" s="152"/>
      <c r="J79" s="152"/>
      <c r="K79" s="152"/>
      <c r="L79" s="152"/>
    </row>
    <row r="80" spans="1:12">
      <c r="A80" s="152"/>
      <c r="B80" s="160"/>
      <c r="C80" s="152"/>
      <c r="D80" s="163"/>
      <c r="E80" s="152"/>
      <c r="F80" s="152"/>
      <c r="G80" s="152"/>
      <c r="H80" s="164"/>
      <c r="I80" s="152"/>
      <c r="J80" s="152"/>
      <c r="K80" s="152"/>
      <c r="L80" s="152"/>
    </row>
    <row r="81" spans="1:12">
      <c r="A81" s="152"/>
      <c r="B81" s="160"/>
      <c r="C81" s="152"/>
      <c r="D81" s="163"/>
      <c r="E81" s="152"/>
      <c r="F81" s="152"/>
      <c r="G81" s="152"/>
      <c r="H81" s="164"/>
      <c r="I81" s="152"/>
      <c r="J81" s="152"/>
      <c r="K81" s="152"/>
      <c r="L81" s="152"/>
    </row>
    <row r="82" spans="1:12">
      <c r="A82" s="152"/>
      <c r="B82" s="160"/>
      <c r="C82" s="152"/>
      <c r="D82" s="163"/>
      <c r="E82" s="152"/>
      <c r="F82" s="152"/>
      <c r="G82" s="152"/>
      <c r="H82" s="164"/>
      <c r="I82" s="152"/>
      <c r="J82" s="152"/>
      <c r="K82" s="152"/>
      <c r="L82" s="152"/>
    </row>
    <row r="83" spans="1:12">
      <c r="A83" s="152"/>
      <c r="B83" s="160"/>
      <c r="C83" s="152"/>
      <c r="D83" s="163"/>
      <c r="E83" s="152"/>
      <c r="F83" s="152"/>
      <c r="G83" s="152"/>
      <c r="H83" s="164"/>
      <c r="I83" s="152"/>
      <c r="J83" s="152"/>
      <c r="K83" s="152"/>
      <c r="L83" s="152"/>
    </row>
    <row r="84" spans="1:12">
      <c r="A84" s="152"/>
      <c r="B84" s="160"/>
      <c r="C84" s="152"/>
      <c r="D84" s="163"/>
      <c r="E84" s="152"/>
      <c r="F84" s="152"/>
      <c r="G84" s="152"/>
      <c r="H84" s="164"/>
      <c r="I84" s="152"/>
      <c r="J84" s="152"/>
      <c r="K84" s="152"/>
      <c r="L84" s="152"/>
    </row>
    <row r="85" spans="1:12">
      <c r="A85" s="152"/>
      <c r="B85" s="160"/>
      <c r="C85" s="152"/>
      <c r="D85" s="163"/>
      <c r="E85" s="152"/>
      <c r="F85" s="152"/>
      <c r="G85" s="152"/>
      <c r="H85" s="164"/>
      <c r="I85" s="152"/>
      <c r="J85" s="152"/>
      <c r="K85" s="152"/>
      <c r="L85" s="152"/>
    </row>
    <row r="86" spans="1:12">
      <c r="A86" s="152"/>
      <c r="B86" s="160"/>
      <c r="C86" s="152"/>
      <c r="D86" s="163"/>
      <c r="E86" s="152"/>
      <c r="F86" s="152"/>
      <c r="G86" s="152"/>
      <c r="H86" s="164"/>
      <c r="I86" s="152"/>
      <c r="J86" s="152"/>
      <c r="K86" s="152"/>
      <c r="L86" s="152"/>
    </row>
    <row r="87" spans="1:12">
      <c r="A87" s="152"/>
      <c r="B87" s="160"/>
      <c r="C87" s="152"/>
      <c r="D87" s="163"/>
      <c r="E87" s="152"/>
      <c r="F87" s="152"/>
      <c r="G87" s="152"/>
      <c r="H87" s="164"/>
      <c r="I87" s="152"/>
      <c r="J87" s="152"/>
      <c r="K87" s="152"/>
      <c r="L87" s="152"/>
    </row>
    <row r="88" spans="1:12">
      <c r="A88" s="152"/>
      <c r="B88" s="160"/>
      <c r="C88" s="152"/>
      <c r="D88" s="163"/>
      <c r="E88" s="152"/>
      <c r="F88" s="152"/>
      <c r="G88" s="152"/>
      <c r="H88" s="164"/>
      <c r="I88" s="152"/>
      <c r="J88" s="152"/>
      <c r="K88" s="152"/>
      <c r="L88" s="152"/>
    </row>
    <row r="89" spans="1:12">
      <c r="A89" s="152"/>
      <c r="B89" s="160"/>
      <c r="C89" s="152"/>
      <c r="D89" s="163"/>
      <c r="E89" s="152"/>
      <c r="F89" s="152"/>
      <c r="G89" s="152"/>
      <c r="H89" s="164"/>
      <c r="I89" s="152"/>
      <c r="J89" s="152"/>
      <c r="K89" s="152"/>
      <c r="L89" s="152"/>
    </row>
    <row r="90" spans="1:12">
      <c r="A90" s="152"/>
      <c r="B90" s="160"/>
      <c r="C90" s="152"/>
      <c r="D90" s="163"/>
      <c r="E90" s="152"/>
      <c r="F90" s="152"/>
      <c r="G90" s="152"/>
      <c r="H90" s="164"/>
      <c r="I90" s="152"/>
      <c r="J90" s="152"/>
      <c r="K90" s="152"/>
      <c r="L90" s="152"/>
    </row>
    <row r="91" spans="1:12">
      <c r="A91" s="152"/>
      <c r="B91" s="160"/>
      <c r="C91" s="152"/>
      <c r="D91" s="163"/>
      <c r="E91" s="152"/>
      <c r="F91" s="152"/>
      <c r="G91" s="152"/>
      <c r="H91" s="164"/>
      <c r="I91" s="152"/>
      <c r="J91" s="152"/>
      <c r="K91" s="152"/>
      <c r="L91" s="152"/>
    </row>
    <row r="92" spans="1:12">
      <c r="A92" s="152"/>
      <c r="B92" s="160"/>
      <c r="C92" s="152"/>
      <c r="D92" s="163"/>
      <c r="E92" s="152"/>
      <c r="F92" s="152"/>
      <c r="G92" s="152"/>
      <c r="H92" s="164"/>
      <c r="I92" s="152"/>
      <c r="J92" s="152"/>
      <c r="K92" s="152"/>
      <c r="L92" s="152"/>
    </row>
    <row r="93" spans="1:12">
      <c r="A93" s="152"/>
      <c r="B93" s="160"/>
      <c r="C93" s="152"/>
      <c r="D93" s="163"/>
      <c r="E93" s="152"/>
      <c r="F93" s="152"/>
      <c r="G93" s="152"/>
      <c r="H93" s="164"/>
      <c r="I93" s="152"/>
      <c r="J93" s="152"/>
      <c r="K93" s="152"/>
      <c r="L93" s="152"/>
    </row>
    <row r="94" spans="1:12">
      <c r="A94" s="152"/>
      <c r="B94" s="160"/>
      <c r="C94" s="152"/>
      <c r="D94" s="163"/>
      <c r="E94" s="152"/>
      <c r="F94" s="152"/>
      <c r="G94" s="152"/>
      <c r="H94" s="164"/>
      <c r="I94" s="152"/>
      <c r="J94" s="152"/>
      <c r="K94" s="152"/>
      <c r="L94" s="152"/>
    </row>
    <row r="95" spans="1:12">
      <c r="A95" s="152"/>
      <c r="B95" s="160"/>
      <c r="C95" s="152"/>
      <c r="D95" s="163"/>
      <c r="E95" s="152"/>
      <c r="F95" s="152"/>
      <c r="G95" s="152"/>
      <c r="H95" s="164"/>
      <c r="I95" s="152"/>
      <c r="J95" s="152"/>
      <c r="K95" s="152"/>
      <c r="L95" s="152"/>
    </row>
    <row r="96" spans="1:12">
      <c r="A96" s="152"/>
      <c r="B96" s="160"/>
      <c r="C96" s="152"/>
      <c r="D96" s="163"/>
      <c r="E96" s="152"/>
      <c r="F96" s="152"/>
      <c r="G96" s="152"/>
      <c r="H96" s="164"/>
      <c r="I96" s="152"/>
      <c r="J96" s="152"/>
      <c r="K96" s="152"/>
      <c r="L96" s="152"/>
    </row>
    <row r="97" spans="1:12">
      <c r="A97" s="152"/>
      <c r="B97" s="160"/>
      <c r="C97" s="152"/>
      <c r="D97" s="163"/>
      <c r="E97" s="152"/>
      <c r="F97" s="152"/>
      <c r="G97" s="152"/>
      <c r="H97" s="164"/>
      <c r="I97" s="152"/>
      <c r="J97" s="152"/>
      <c r="K97" s="152"/>
      <c r="L97" s="152"/>
    </row>
    <row r="98" spans="1:12">
      <c r="A98" s="152"/>
      <c r="B98" s="160"/>
      <c r="C98" s="152"/>
      <c r="D98" s="163"/>
      <c r="E98" s="152"/>
      <c r="F98" s="152"/>
      <c r="G98" s="152"/>
      <c r="H98" s="164"/>
      <c r="I98" s="152"/>
      <c r="J98" s="152"/>
      <c r="K98" s="152"/>
      <c r="L98" s="152"/>
    </row>
    <row r="99" spans="1:12">
      <c r="A99" s="152"/>
      <c r="B99" s="160"/>
      <c r="C99" s="152"/>
      <c r="D99" s="163"/>
      <c r="E99" s="152"/>
      <c r="F99" s="152"/>
      <c r="G99" s="152"/>
      <c r="H99" s="164"/>
      <c r="I99" s="152"/>
      <c r="J99" s="152"/>
      <c r="K99" s="152"/>
      <c r="L99" s="152"/>
    </row>
    <row r="100" spans="1:12">
      <c r="A100" s="152"/>
      <c r="B100" s="160"/>
      <c r="C100" s="152"/>
      <c r="D100" s="163"/>
      <c r="E100" s="152"/>
      <c r="F100" s="152"/>
      <c r="G100" s="152"/>
      <c r="H100" s="164"/>
      <c r="I100" s="152"/>
      <c r="J100" s="152"/>
      <c r="K100" s="152"/>
      <c r="L100" s="152"/>
    </row>
    <row r="101" spans="1:12">
      <c r="A101" s="152"/>
      <c r="B101" s="160"/>
      <c r="C101" s="152"/>
      <c r="D101" s="163"/>
      <c r="E101" s="152"/>
      <c r="F101" s="152"/>
      <c r="G101" s="152"/>
      <c r="H101" s="164"/>
      <c r="I101" s="152"/>
      <c r="J101" s="152"/>
      <c r="K101" s="152"/>
      <c r="L101" s="152"/>
    </row>
    <row r="102" spans="1:12">
      <c r="A102" s="152"/>
      <c r="B102" s="160"/>
      <c r="C102" s="152"/>
      <c r="D102" s="163"/>
      <c r="E102" s="152"/>
      <c r="F102" s="152"/>
      <c r="G102" s="152"/>
      <c r="H102" s="164"/>
      <c r="I102" s="152"/>
      <c r="J102" s="152"/>
      <c r="K102" s="152"/>
      <c r="L102" s="152"/>
    </row>
    <row r="103" spans="1:12">
      <c r="A103" s="152"/>
      <c r="B103" s="160"/>
      <c r="C103" s="152"/>
      <c r="D103" s="163"/>
      <c r="E103" s="152"/>
      <c r="F103" s="152"/>
      <c r="G103" s="152"/>
      <c r="H103" s="164"/>
      <c r="I103" s="152"/>
      <c r="J103" s="152"/>
      <c r="K103" s="152"/>
      <c r="L103" s="152"/>
    </row>
    <row r="104" spans="1:12">
      <c r="A104" s="152"/>
      <c r="B104" s="160"/>
      <c r="C104" s="152"/>
      <c r="D104" s="163"/>
      <c r="E104" s="152"/>
      <c r="F104" s="152"/>
      <c r="G104" s="152"/>
      <c r="H104" s="164"/>
      <c r="I104" s="152"/>
      <c r="J104" s="152"/>
      <c r="K104" s="152"/>
      <c r="L104" s="152"/>
    </row>
    <row r="105" spans="1:12">
      <c r="A105" s="152"/>
      <c r="B105" s="160"/>
      <c r="C105" s="152"/>
      <c r="D105" s="163"/>
      <c r="E105" s="152"/>
      <c r="F105" s="152"/>
      <c r="G105" s="152"/>
      <c r="H105" s="164"/>
      <c r="I105" s="152"/>
      <c r="J105" s="152"/>
      <c r="K105" s="152"/>
      <c r="L105" s="152"/>
    </row>
    <row r="106" spans="1:12">
      <c r="A106" s="152"/>
      <c r="B106" s="160"/>
      <c r="C106" s="152"/>
      <c r="D106" s="163"/>
      <c r="E106" s="152"/>
      <c r="F106" s="152"/>
      <c r="G106" s="152"/>
      <c r="H106" s="164"/>
      <c r="I106" s="152"/>
      <c r="J106" s="152"/>
      <c r="K106" s="152"/>
      <c r="L106" s="152"/>
    </row>
    <row r="107" spans="1:12">
      <c r="A107" s="152"/>
      <c r="B107" s="160"/>
      <c r="C107" s="152"/>
      <c r="D107" s="163"/>
      <c r="E107" s="152"/>
      <c r="F107" s="152"/>
      <c r="G107" s="152"/>
      <c r="H107" s="164"/>
      <c r="I107" s="152"/>
      <c r="J107" s="152"/>
      <c r="K107" s="152"/>
      <c r="L107" s="152"/>
    </row>
    <row r="108" spans="1:12">
      <c r="A108" s="152"/>
      <c r="B108" s="160"/>
      <c r="C108" s="152"/>
      <c r="D108" s="163"/>
      <c r="E108" s="152"/>
      <c r="F108" s="152"/>
      <c r="G108" s="152"/>
      <c r="H108" s="164"/>
      <c r="I108" s="152"/>
      <c r="J108" s="152"/>
      <c r="K108" s="152"/>
      <c r="L108" s="152"/>
    </row>
    <row r="109" spans="1:12">
      <c r="A109" s="152"/>
      <c r="B109" s="160"/>
      <c r="C109" s="152"/>
      <c r="D109" s="163"/>
      <c r="E109" s="152"/>
      <c r="F109" s="152"/>
      <c r="G109" s="152"/>
      <c r="H109" s="164"/>
      <c r="I109" s="152"/>
      <c r="J109" s="152"/>
      <c r="K109" s="152"/>
      <c r="L109" s="152"/>
    </row>
    <row r="110" spans="1:12">
      <c r="A110" s="152"/>
      <c r="B110" s="160"/>
      <c r="C110" s="152"/>
      <c r="D110" s="163"/>
      <c r="E110" s="152"/>
      <c r="F110" s="152"/>
      <c r="G110" s="152"/>
      <c r="H110" s="164"/>
      <c r="I110" s="152"/>
      <c r="J110" s="152"/>
      <c r="K110" s="152"/>
      <c r="L110" s="152"/>
    </row>
    <row r="111" spans="1:12">
      <c r="A111" s="152"/>
      <c r="B111" s="160"/>
      <c r="C111" s="152"/>
      <c r="D111" s="163"/>
      <c r="E111" s="152"/>
      <c r="F111" s="152"/>
      <c r="G111" s="152"/>
      <c r="H111" s="164"/>
      <c r="I111" s="152"/>
      <c r="J111" s="152"/>
      <c r="K111" s="152"/>
      <c r="L111" s="152"/>
    </row>
    <row r="112" spans="1:12">
      <c r="A112" s="152"/>
      <c r="B112" s="160"/>
      <c r="C112" s="152"/>
      <c r="D112" s="163"/>
      <c r="E112" s="152"/>
      <c r="F112" s="152"/>
      <c r="G112" s="152"/>
      <c r="H112" s="164"/>
      <c r="I112" s="152"/>
      <c r="J112" s="152"/>
      <c r="K112" s="152"/>
      <c r="L112" s="152"/>
    </row>
    <row r="113" spans="1:12">
      <c r="A113" s="152"/>
      <c r="B113" s="160"/>
      <c r="C113" s="152"/>
      <c r="D113" s="163"/>
      <c r="E113" s="152"/>
      <c r="F113" s="152"/>
      <c r="G113" s="152"/>
      <c r="H113" s="164"/>
      <c r="I113" s="152"/>
      <c r="J113" s="152"/>
      <c r="K113" s="152"/>
      <c r="L113" s="152"/>
    </row>
    <row r="114" spans="1:12">
      <c r="A114" s="152"/>
      <c r="B114" s="160"/>
      <c r="C114" s="152"/>
      <c r="D114" s="163"/>
      <c r="E114" s="152"/>
      <c r="F114" s="152"/>
      <c r="G114" s="152"/>
      <c r="H114" s="164"/>
      <c r="I114" s="152"/>
      <c r="J114" s="152"/>
      <c r="K114" s="152"/>
      <c r="L114" s="152"/>
    </row>
    <row r="115" spans="1:12">
      <c r="A115" s="152"/>
      <c r="B115" s="160"/>
      <c r="C115" s="152"/>
      <c r="D115" s="163"/>
      <c r="E115" s="152"/>
      <c r="F115" s="152"/>
      <c r="G115" s="152"/>
      <c r="H115" s="164"/>
      <c r="I115" s="152"/>
      <c r="J115" s="152"/>
      <c r="K115" s="152"/>
      <c r="L115" s="152"/>
    </row>
    <row r="116" spans="1:12">
      <c r="A116" s="152"/>
      <c r="B116" s="160"/>
      <c r="C116" s="152"/>
      <c r="D116" s="163"/>
      <c r="E116" s="152"/>
      <c r="F116" s="152"/>
      <c r="G116" s="152"/>
      <c r="H116" s="164"/>
      <c r="I116" s="152"/>
      <c r="J116" s="152"/>
      <c r="K116" s="152"/>
      <c r="L116" s="152"/>
    </row>
    <row r="117" spans="1:12">
      <c r="A117" s="152"/>
      <c r="B117" s="160"/>
      <c r="C117" s="152"/>
      <c r="D117" s="163"/>
      <c r="E117" s="152"/>
      <c r="F117" s="152"/>
      <c r="G117" s="152"/>
      <c r="H117" s="164"/>
      <c r="I117" s="152"/>
      <c r="J117" s="152"/>
      <c r="K117" s="152"/>
      <c r="L117" s="152"/>
    </row>
    <row r="118" spans="1:12">
      <c r="A118" s="152"/>
      <c r="B118" s="160"/>
      <c r="C118" s="152"/>
      <c r="D118" s="163"/>
      <c r="E118" s="152"/>
      <c r="F118" s="152"/>
      <c r="G118" s="152"/>
      <c r="H118" s="164"/>
      <c r="I118" s="152"/>
      <c r="J118" s="152"/>
      <c r="K118" s="152"/>
      <c r="L118" s="152"/>
    </row>
    <row r="119" spans="1:12">
      <c r="A119" s="152"/>
      <c r="B119" s="160"/>
      <c r="C119" s="152"/>
      <c r="D119" s="163"/>
      <c r="E119" s="152"/>
      <c r="F119" s="152"/>
      <c r="G119" s="152"/>
      <c r="H119" s="164"/>
      <c r="I119" s="152"/>
      <c r="J119" s="152"/>
      <c r="K119" s="152"/>
      <c r="L119" s="152"/>
    </row>
    <row r="120" spans="1:12">
      <c r="A120" s="152"/>
      <c r="B120" s="160"/>
      <c r="C120" s="152"/>
      <c r="D120" s="163"/>
      <c r="E120" s="152"/>
      <c r="F120" s="152"/>
      <c r="G120" s="152"/>
      <c r="H120" s="164"/>
      <c r="I120" s="152"/>
      <c r="J120" s="152"/>
      <c r="K120" s="152"/>
      <c r="L120" s="152"/>
    </row>
    <row r="121" spans="1:12">
      <c r="A121" s="152"/>
      <c r="B121" s="160"/>
      <c r="C121" s="152"/>
      <c r="D121" s="163"/>
      <c r="E121" s="152"/>
      <c r="F121" s="152"/>
      <c r="G121" s="152"/>
      <c r="H121" s="164"/>
      <c r="I121" s="152"/>
      <c r="J121" s="152"/>
      <c r="K121" s="152"/>
      <c r="L121" s="152"/>
    </row>
    <row r="122" spans="1:12">
      <c r="A122" s="152"/>
      <c r="B122" s="160"/>
      <c r="C122" s="152"/>
      <c r="D122" s="163"/>
      <c r="E122" s="152"/>
      <c r="F122" s="152"/>
      <c r="G122" s="152"/>
      <c r="H122" s="164"/>
      <c r="I122" s="152"/>
      <c r="J122" s="152"/>
      <c r="K122" s="152"/>
      <c r="L122" s="152"/>
    </row>
    <row r="123" spans="1:12">
      <c r="A123" s="152"/>
      <c r="B123" s="160"/>
      <c r="C123" s="152"/>
      <c r="D123" s="163"/>
      <c r="E123" s="152"/>
      <c r="F123" s="152"/>
      <c r="G123" s="152"/>
      <c r="H123" s="164"/>
      <c r="I123" s="152"/>
      <c r="J123" s="152"/>
      <c r="K123" s="152"/>
      <c r="L123" s="152"/>
    </row>
    <row r="124" spans="1:12">
      <c r="A124" s="152"/>
      <c r="B124" s="160"/>
      <c r="C124" s="152"/>
      <c r="D124" s="163"/>
      <c r="E124" s="152"/>
      <c r="F124" s="152"/>
      <c r="G124" s="152"/>
      <c r="H124" s="164"/>
      <c r="I124" s="152"/>
      <c r="J124" s="152"/>
      <c r="K124" s="152"/>
      <c r="L124" s="152"/>
    </row>
    <row r="125" spans="1:12">
      <c r="A125" s="152"/>
      <c r="B125" s="160"/>
      <c r="C125" s="152"/>
      <c r="D125" s="163"/>
      <c r="E125" s="152"/>
      <c r="F125" s="152"/>
      <c r="G125" s="152"/>
      <c r="H125" s="164"/>
      <c r="I125" s="152"/>
      <c r="J125" s="152"/>
      <c r="K125" s="152"/>
      <c r="L125" s="152"/>
    </row>
    <row r="126" spans="1:12">
      <c r="A126" s="152"/>
      <c r="B126" s="160"/>
      <c r="C126" s="152"/>
      <c r="D126" s="163"/>
      <c r="E126" s="152"/>
      <c r="F126" s="152"/>
      <c r="G126" s="152"/>
      <c r="H126" s="164"/>
      <c r="I126" s="152"/>
      <c r="J126" s="152"/>
      <c r="K126" s="152"/>
      <c r="L126" s="152"/>
    </row>
    <row r="127" spans="1:12">
      <c r="A127" s="152"/>
      <c r="B127" s="160"/>
      <c r="C127" s="152"/>
      <c r="D127" s="163"/>
      <c r="E127" s="152"/>
      <c r="F127" s="152"/>
      <c r="G127" s="152"/>
      <c r="H127" s="164"/>
      <c r="I127" s="152"/>
      <c r="J127" s="152"/>
      <c r="K127" s="152"/>
      <c r="L127" s="152"/>
    </row>
    <row r="128" spans="1:12">
      <c r="A128" s="152"/>
      <c r="B128" s="160"/>
      <c r="C128" s="152"/>
      <c r="D128" s="163"/>
      <c r="E128" s="152"/>
      <c r="F128" s="152"/>
      <c r="G128" s="152"/>
      <c r="H128" s="164"/>
      <c r="I128" s="152"/>
      <c r="J128" s="152"/>
      <c r="K128" s="152"/>
      <c r="L128" s="152"/>
    </row>
    <row r="129" spans="1:12">
      <c r="A129" s="152"/>
      <c r="B129" s="160"/>
      <c r="C129" s="152"/>
      <c r="D129" s="163"/>
      <c r="E129" s="152"/>
      <c r="F129" s="152"/>
      <c r="G129" s="152"/>
      <c r="H129" s="164"/>
      <c r="I129" s="152"/>
      <c r="J129" s="152"/>
      <c r="K129" s="152"/>
      <c r="L129" s="152"/>
    </row>
    <row r="130" spans="1:12">
      <c r="A130" s="152"/>
      <c r="B130" s="160"/>
      <c r="C130" s="152"/>
      <c r="D130" s="163"/>
      <c r="E130" s="152"/>
      <c r="F130" s="152"/>
      <c r="G130" s="152"/>
      <c r="H130" s="164"/>
      <c r="I130" s="152"/>
      <c r="J130" s="152"/>
      <c r="K130" s="152"/>
      <c r="L130" s="152"/>
    </row>
    <row r="131" spans="1:12">
      <c r="A131" s="152"/>
      <c r="B131" s="160"/>
      <c r="C131" s="152"/>
      <c r="D131" s="163"/>
      <c r="E131" s="152"/>
      <c r="F131" s="152"/>
      <c r="G131" s="152"/>
      <c r="H131" s="164"/>
      <c r="I131" s="152"/>
      <c r="J131" s="152"/>
      <c r="K131" s="152"/>
      <c r="L131" s="152"/>
    </row>
    <row r="132" spans="1:12">
      <c r="A132" s="152"/>
      <c r="B132" s="160"/>
      <c r="C132" s="152"/>
      <c r="D132" s="163"/>
      <c r="E132" s="152"/>
      <c r="F132" s="152"/>
      <c r="G132" s="152"/>
      <c r="H132" s="164"/>
      <c r="I132" s="152"/>
      <c r="J132" s="152"/>
      <c r="K132" s="152"/>
      <c r="L132" s="152"/>
    </row>
    <row r="133" spans="1:12">
      <c r="A133" s="152"/>
      <c r="B133" s="160"/>
      <c r="C133" s="152"/>
      <c r="D133" s="163"/>
      <c r="E133" s="152"/>
      <c r="F133" s="152"/>
      <c r="G133" s="152"/>
      <c r="H133" s="164"/>
      <c r="I133" s="152"/>
      <c r="J133" s="152"/>
      <c r="K133" s="152"/>
      <c r="L133" s="152"/>
    </row>
    <row r="134" spans="1:12">
      <c r="A134" s="152"/>
      <c r="B134" s="160"/>
      <c r="C134" s="152"/>
      <c r="D134" s="163"/>
      <c r="E134" s="152"/>
      <c r="F134" s="152"/>
      <c r="G134" s="152"/>
      <c r="H134" s="164"/>
      <c r="I134" s="152"/>
      <c r="J134" s="152"/>
      <c r="K134" s="152"/>
      <c r="L134" s="152"/>
    </row>
    <row r="135" spans="1:12">
      <c r="A135" s="152"/>
      <c r="B135" s="160"/>
      <c r="C135" s="152"/>
      <c r="D135" s="163"/>
      <c r="E135" s="152"/>
      <c r="F135" s="152"/>
      <c r="G135" s="152"/>
      <c r="H135" s="164"/>
      <c r="I135" s="152"/>
      <c r="J135" s="152"/>
      <c r="K135" s="152"/>
      <c r="L135" s="152"/>
    </row>
    <row r="136" spans="1:12">
      <c r="A136" s="152"/>
      <c r="B136" s="160"/>
      <c r="C136" s="152"/>
      <c r="D136" s="163"/>
      <c r="E136" s="152"/>
      <c r="F136" s="152"/>
      <c r="G136" s="152"/>
      <c r="H136" s="164"/>
      <c r="I136" s="152"/>
      <c r="J136" s="152"/>
      <c r="K136" s="152"/>
      <c r="L136" s="152"/>
    </row>
    <row r="137" spans="1:12">
      <c r="A137" s="152"/>
      <c r="B137" s="160"/>
      <c r="C137" s="152"/>
      <c r="D137" s="163"/>
      <c r="E137" s="152"/>
      <c r="F137" s="152"/>
      <c r="G137" s="152"/>
      <c r="H137" s="164"/>
      <c r="I137" s="152"/>
      <c r="J137" s="152"/>
      <c r="K137" s="152"/>
      <c r="L137" s="152"/>
    </row>
    <row r="138" spans="1:12">
      <c r="A138" s="152"/>
      <c r="B138" s="160"/>
      <c r="C138" s="152"/>
      <c r="D138" s="163"/>
      <c r="E138" s="152"/>
      <c r="F138" s="152"/>
      <c r="G138" s="152"/>
      <c r="H138" s="164"/>
      <c r="I138" s="152"/>
      <c r="J138" s="152"/>
      <c r="K138" s="152"/>
      <c r="L138" s="152"/>
    </row>
    <row r="139" spans="1:12">
      <c r="A139" s="152"/>
      <c r="B139" s="160"/>
      <c r="C139" s="152"/>
      <c r="D139" s="163"/>
      <c r="E139" s="152"/>
      <c r="F139" s="152"/>
      <c r="G139" s="152"/>
      <c r="H139" s="164"/>
      <c r="I139" s="152"/>
      <c r="J139" s="152"/>
      <c r="K139" s="152"/>
      <c r="L139" s="152"/>
    </row>
    <row r="140" spans="1:12">
      <c r="A140" s="152"/>
      <c r="B140" s="160"/>
      <c r="C140" s="152"/>
      <c r="D140" s="163"/>
      <c r="E140" s="152"/>
      <c r="F140" s="152"/>
      <c r="G140" s="152"/>
      <c r="H140" s="164"/>
      <c r="I140" s="152"/>
      <c r="J140" s="152"/>
      <c r="K140" s="152"/>
      <c r="L140" s="152"/>
    </row>
    <row r="141" spans="1:12">
      <c r="A141" s="152"/>
      <c r="B141" s="160"/>
      <c r="C141" s="152"/>
      <c r="D141" s="163"/>
      <c r="E141" s="152"/>
      <c r="F141" s="152"/>
      <c r="G141" s="152"/>
      <c r="H141" s="164"/>
      <c r="I141" s="152"/>
      <c r="J141" s="152"/>
      <c r="K141" s="152"/>
      <c r="L141" s="152"/>
    </row>
    <row r="142" spans="1:12">
      <c r="A142" s="152"/>
      <c r="B142" s="160"/>
      <c r="C142" s="152"/>
      <c r="D142" s="163"/>
      <c r="E142" s="152"/>
      <c r="F142" s="152"/>
      <c r="G142" s="152"/>
      <c r="H142" s="164"/>
      <c r="I142" s="152"/>
      <c r="J142" s="152"/>
      <c r="K142" s="152"/>
      <c r="L142" s="152"/>
    </row>
    <row r="143" spans="1:12">
      <c r="A143" s="152"/>
      <c r="B143" s="160"/>
      <c r="C143" s="152"/>
      <c r="D143" s="163"/>
      <c r="E143" s="152"/>
      <c r="F143" s="152"/>
      <c r="G143" s="152"/>
      <c r="H143" s="164"/>
      <c r="I143" s="152"/>
      <c r="J143" s="152"/>
      <c r="K143" s="152"/>
      <c r="L143" s="152"/>
    </row>
    <row r="144" spans="1:12">
      <c r="A144" s="152"/>
      <c r="B144" s="160"/>
      <c r="C144" s="152"/>
      <c r="D144" s="163"/>
      <c r="E144" s="152"/>
      <c r="F144" s="152"/>
      <c r="G144" s="152"/>
      <c r="H144" s="164"/>
      <c r="I144" s="152"/>
      <c r="J144" s="152"/>
      <c r="K144" s="152"/>
      <c r="L144" s="152"/>
    </row>
    <row r="145" spans="1:12">
      <c r="A145" s="152"/>
      <c r="B145" s="160"/>
      <c r="C145" s="152"/>
      <c r="D145" s="163"/>
      <c r="E145" s="152"/>
      <c r="F145" s="152"/>
      <c r="G145" s="152"/>
      <c r="H145" s="164"/>
      <c r="I145" s="152"/>
      <c r="J145" s="152"/>
      <c r="K145" s="152"/>
      <c r="L145" s="152"/>
    </row>
    <row r="146" spans="1:12">
      <c r="A146" s="152"/>
      <c r="B146" s="160"/>
      <c r="C146" s="152"/>
      <c r="D146" s="163"/>
      <c r="E146" s="152"/>
      <c r="F146" s="152"/>
      <c r="G146" s="152"/>
      <c r="H146" s="164"/>
      <c r="I146" s="152"/>
      <c r="J146" s="152"/>
      <c r="K146" s="152"/>
      <c r="L146" s="152"/>
    </row>
    <row r="147" spans="1:12">
      <c r="A147" s="152"/>
      <c r="B147" s="160"/>
      <c r="C147" s="152"/>
      <c r="D147" s="163"/>
      <c r="E147" s="152"/>
      <c r="F147" s="152"/>
      <c r="G147" s="152"/>
      <c r="H147" s="164"/>
      <c r="I147" s="152"/>
      <c r="J147" s="152"/>
      <c r="K147" s="152"/>
      <c r="L147" s="152"/>
    </row>
  </sheetData>
  <mergeCells count="3">
    <mergeCell ref="A1:H1"/>
    <mergeCell ref="A11:B11"/>
    <mergeCell ref="A12:I12"/>
  </mergeCells>
  <phoneticPr fontId="5" type="noConversion"/>
  <pageMargins left="0.43307086614173229" right="0.19685039370078741" top="0.55118110236220474" bottom="0.15748031496062992" header="0.31496062992125984" footer="0.11811023622047245"/>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view="pageBreakPreview" zoomScale="115" zoomScaleNormal="100" zoomScaleSheetLayoutView="115" workbookViewId="0">
      <selection activeCell="A3" sqref="A3:D3"/>
    </sheetView>
  </sheetViews>
  <sheetFormatPr defaultRowHeight="18.75"/>
  <cols>
    <col min="1" max="1" width="9.140625" style="334"/>
    <col min="2" max="2" width="56.5703125" style="337" customWidth="1"/>
    <col min="3" max="3" width="14.42578125" style="304" customWidth="1"/>
    <col min="4" max="4" width="76" style="304" customWidth="1"/>
    <col min="5" max="9" width="17.42578125" style="304" customWidth="1"/>
    <col min="10" max="16384" width="9.140625" style="304"/>
  </cols>
  <sheetData>
    <row r="1" spans="1:4">
      <c r="A1" s="415" t="s">
        <v>449</v>
      </c>
      <c r="B1" s="415"/>
      <c r="C1" s="415"/>
      <c r="D1" s="415"/>
    </row>
    <row r="2" spans="1:4" ht="38.25" customHeight="1">
      <c r="A2" s="418" t="s">
        <v>598</v>
      </c>
      <c r="B2" s="418"/>
      <c r="C2" s="418"/>
      <c r="D2" s="418"/>
    </row>
    <row r="3" spans="1:4" ht="24" customHeight="1">
      <c r="A3" s="416" t="s">
        <v>654</v>
      </c>
      <c r="B3" s="416"/>
      <c r="C3" s="416"/>
      <c r="D3" s="416"/>
    </row>
    <row r="4" spans="1:4">
      <c r="A4" s="417" t="s">
        <v>148</v>
      </c>
      <c r="B4" s="417" t="s">
        <v>168</v>
      </c>
      <c r="C4" s="417" t="s">
        <v>651</v>
      </c>
      <c r="D4" s="417" t="s">
        <v>443</v>
      </c>
    </row>
    <row r="5" spans="1:4">
      <c r="A5" s="417"/>
      <c r="B5" s="417"/>
      <c r="C5" s="417"/>
      <c r="D5" s="417"/>
    </row>
    <row r="6" spans="1:4">
      <c r="A6" s="360"/>
      <c r="B6" s="360" t="s">
        <v>154</v>
      </c>
      <c r="C6" s="366">
        <f>C7+C11</f>
        <v>258300</v>
      </c>
      <c r="D6" s="366"/>
    </row>
    <row r="7" spans="1:4">
      <c r="A7" s="360" t="s">
        <v>600</v>
      </c>
      <c r="B7" s="373" t="s">
        <v>444</v>
      </c>
      <c r="C7" s="366">
        <f>SUM(C8:C10)</f>
        <v>183800</v>
      </c>
      <c r="D7" s="366"/>
    </row>
    <row r="8" spans="1:4" ht="149.25" customHeight="1">
      <c r="A8" s="363">
        <v>1</v>
      </c>
      <c r="B8" s="375" t="s">
        <v>445</v>
      </c>
      <c r="C8" s="364">
        <v>1500</v>
      </c>
      <c r="D8" s="365" t="s">
        <v>498</v>
      </c>
    </row>
    <row r="9" spans="1:4" ht="37.5">
      <c r="A9" s="331">
        <v>2</v>
      </c>
      <c r="B9" s="361" t="s">
        <v>446</v>
      </c>
      <c r="C9" s="330">
        <f>'PL 2. Nuoc sach VSMT'!R8</f>
        <v>33600</v>
      </c>
      <c r="D9" s="361" t="s">
        <v>448</v>
      </c>
    </row>
    <row r="10" spans="1:4" ht="37.5">
      <c r="A10" s="367">
        <v>3</v>
      </c>
      <c r="B10" s="376" t="s">
        <v>447</v>
      </c>
      <c r="C10" s="368">
        <f>183800-C8-C9</f>
        <v>148700</v>
      </c>
      <c r="D10" s="369" t="s">
        <v>490</v>
      </c>
    </row>
    <row r="11" spans="1:4">
      <c r="A11" s="360" t="s">
        <v>599</v>
      </c>
      <c r="B11" s="373" t="s">
        <v>586</v>
      </c>
      <c r="C11" s="366">
        <f>C12+C25+C26+C27+C28+C32+C46+C49+C50+C53</f>
        <v>74500</v>
      </c>
      <c r="D11" s="373"/>
    </row>
    <row r="12" spans="1:4" s="336" customFormat="1" ht="93.75">
      <c r="A12" s="370" t="s">
        <v>149</v>
      </c>
      <c r="B12" s="377" t="s">
        <v>632</v>
      </c>
      <c r="C12" s="371">
        <f>C13+C18</f>
        <v>18950</v>
      </c>
      <c r="D12" s="372"/>
    </row>
    <row r="13" spans="1:4" s="342" customFormat="1" ht="39">
      <c r="A13" s="340">
        <v>1</v>
      </c>
      <c r="B13" s="378" t="s">
        <v>618</v>
      </c>
      <c r="C13" s="341">
        <f>C14+C15+C16+C17</f>
        <v>7500</v>
      </c>
      <c r="D13" s="362"/>
    </row>
    <row r="14" spans="1:4" ht="75" customHeight="1">
      <c r="A14" s="333" t="s">
        <v>169</v>
      </c>
      <c r="B14" s="361" t="s">
        <v>617</v>
      </c>
      <c r="C14" s="330">
        <v>2000</v>
      </c>
      <c r="D14" s="328" t="s">
        <v>553</v>
      </c>
    </row>
    <row r="15" spans="1:4" ht="56.25">
      <c r="A15" s="333" t="s">
        <v>170</v>
      </c>
      <c r="B15" s="361" t="s">
        <v>555</v>
      </c>
      <c r="C15" s="330">
        <v>4000</v>
      </c>
      <c r="D15" s="328" t="s">
        <v>556</v>
      </c>
    </row>
    <row r="16" spans="1:4" ht="56.25">
      <c r="A16" s="333" t="s">
        <v>601</v>
      </c>
      <c r="B16" s="361" t="s">
        <v>557</v>
      </c>
      <c r="C16" s="330">
        <v>1000</v>
      </c>
      <c r="D16" s="328" t="s">
        <v>558</v>
      </c>
    </row>
    <row r="17" spans="1:6" ht="56.25">
      <c r="A17" s="333" t="s">
        <v>602</v>
      </c>
      <c r="B17" s="361" t="s">
        <v>565</v>
      </c>
      <c r="C17" s="330">
        <v>500</v>
      </c>
      <c r="D17" s="328" t="s">
        <v>566</v>
      </c>
    </row>
    <row r="18" spans="1:6" s="342" customFormat="1" ht="58.5">
      <c r="A18" s="340">
        <v>2</v>
      </c>
      <c r="B18" s="378" t="s">
        <v>554</v>
      </c>
      <c r="C18" s="341">
        <f>SUM(C19:C24)</f>
        <v>11450</v>
      </c>
      <c r="D18" s="362"/>
    </row>
    <row r="19" spans="1:6" ht="37.5">
      <c r="A19" s="333" t="s">
        <v>633</v>
      </c>
      <c r="B19" s="361" t="s">
        <v>561</v>
      </c>
      <c r="C19" s="330">
        <v>3600</v>
      </c>
      <c r="D19" s="328" t="s">
        <v>562</v>
      </c>
    </row>
    <row r="20" spans="1:6" ht="56.25">
      <c r="A20" s="333" t="s">
        <v>634</v>
      </c>
      <c r="B20" s="361" t="s">
        <v>559</v>
      </c>
      <c r="C20" s="330">
        <v>1800</v>
      </c>
      <c r="D20" s="328" t="s">
        <v>560</v>
      </c>
    </row>
    <row r="21" spans="1:6" ht="37.5">
      <c r="A21" s="333" t="s">
        <v>638</v>
      </c>
      <c r="B21" s="361" t="s">
        <v>563</v>
      </c>
      <c r="C21" s="330">
        <v>1700</v>
      </c>
      <c r="D21" s="328" t="s">
        <v>564</v>
      </c>
    </row>
    <row r="22" spans="1:6" s="342" customFormat="1" ht="56.25">
      <c r="A22" s="333" t="s">
        <v>639</v>
      </c>
      <c r="B22" s="361" t="s">
        <v>623</v>
      </c>
      <c r="C22" s="350">
        <v>1200</v>
      </c>
      <c r="D22" s="328" t="s">
        <v>637</v>
      </c>
      <c r="F22" s="342">
        <v>130</v>
      </c>
    </row>
    <row r="23" spans="1:6" s="342" customFormat="1" ht="45" customHeight="1">
      <c r="A23" s="333" t="s">
        <v>640</v>
      </c>
      <c r="B23" s="361" t="s">
        <v>625</v>
      </c>
      <c r="C23" s="350">
        <v>650</v>
      </c>
      <c r="D23" s="328" t="s">
        <v>637</v>
      </c>
      <c r="F23" s="342">
        <v>11</v>
      </c>
    </row>
    <row r="24" spans="1:6" s="342" customFormat="1" ht="56.25">
      <c r="A24" s="333" t="s">
        <v>644</v>
      </c>
      <c r="B24" s="361" t="s">
        <v>619</v>
      </c>
      <c r="C24" s="330">
        <v>2500</v>
      </c>
      <c r="D24" s="328" t="s">
        <v>607</v>
      </c>
      <c r="F24" s="342">
        <f>F22*F23</f>
        <v>1430</v>
      </c>
    </row>
    <row r="25" spans="1:6" s="342" customFormat="1" ht="56.25">
      <c r="A25" s="335" t="s">
        <v>150</v>
      </c>
      <c r="B25" s="379" t="s">
        <v>620</v>
      </c>
      <c r="C25" s="332">
        <v>8000</v>
      </c>
      <c r="D25" s="328" t="s">
        <v>606</v>
      </c>
      <c r="F25" s="342">
        <v>2050</v>
      </c>
    </row>
    <row r="26" spans="1:6" s="336" customFormat="1" ht="131.25">
      <c r="A26" s="335" t="s">
        <v>155</v>
      </c>
      <c r="B26" s="379" t="s">
        <v>645</v>
      </c>
      <c r="C26" s="332">
        <v>2000</v>
      </c>
      <c r="D26" s="328" t="s">
        <v>605</v>
      </c>
    </row>
    <row r="27" spans="1:6" s="336" customFormat="1" ht="56.25">
      <c r="A27" s="335" t="s">
        <v>156</v>
      </c>
      <c r="B27" s="379" t="s">
        <v>567</v>
      </c>
      <c r="C27" s="332">
        <v>2000</v>
      </c>
      <c r="D27" s="328" t="s">
        <v>604</v>
      </c>
    </row>
    <row r="28" spans="1:6" s="336" customFormat="1" ht="36" customHeight="1">
      <c r="A28" s="335" t="s">
        <v>157</v>
      </c>
      <c r="B28" s="379" t="s">
        <v>568</v>
      </c>
      <c r="C28" s="332">
        <f>SUM(C29:C31)</f>
        <v>2800</v>
      </c>
      <c r="D28" s="328"/>
    </row>
    <row r="29" spans="1:6" ht="36" customHeight="1">
      <c r="A29" s="333">
        <v>1</v>
      </c>
      <c r="B29" s="361" t="s">
        <v>636</v>
      </c>
      <c r="C29" s="330">
        <v>900</v>
      </c>
      <c r="D29" s="328" t="s">
        <v>569</v>
      </c>
    </row>
    <row r="30" spans="1:6" ht="36" customHeight="1">
      <c r="A30" s="333">
        <v>2</v>
      </c>
      <c r="B30" s="361" t="s">
        <v>628</v>
      </c>
      <c r="C30" s="330">
        <v>1700</v>
      </c>
      <c r="D30" s="328" t="s">
        <v>579</v>
      </c>
    </row>
    <row r="31" spans="1:6" ht="36" customHeight="1">
      <c r="A31" s="333">
        <v>3</v>
      </c>
      <c r="B31" s="361" t="s">
        <v>652</v>
      </c>
      <c r="C31" s="330">
        <v>200</v>
      </c>
      <c r="D31" s="328" t="s">
        <v>653</v>
      </c>
    </row>
    <row r="32" spans="1:6" s="336" customFormat="1" ht="44.25" customHeight="1">
      <c r="A32" s="335" t="s">
        <v>159</v>
      </c>
      <c r="B32" s="379" t="s">
        <v>570</v>
      </c>
      <c r="C32" s="332">
        <f>C33+C36</f>
        <v>4100</v>
      </c>
      <c r="D32" s="349"/>
    </row>
    <row r="33" spans="1:7" s="342" customFormat="1" ht="58.5">
      <c r="A33" s="340">
        <v>1</v>
      </c>
      <c r="B33" s="378" t="s">
        <v>635</v>
      </c>
      <c r="C33" s="341">
        <f>C34+C35</f>
        <v>1600</v>
      </c>
      <c r="D33" s="362" t="s">
        <v>621</v>
      </c>
    </row>
    <row r="34" spans="1:7" s="342" customFormat="1" ht="56.25">
      <c r="A34" s="333" t="s">
        <v>169</v>
      </c>
      <c r="B34" s="328" t="s">
        <v>622</v>
      </c>
      <c r="C34" s="350">
        <v>950</v>
      </c>
      <c r="D34" s="362"/>
    </row>
    <row r="35" spans="1:7" s="342" customFormat="1" ht="93.75">
      <c r="A35" s="333" t="s">
        <v>170</v>
      </c>
      <c r="B35" s="328" t="s">
        <v>626</v>
      </c>
      <c r="C35" s="350">
        <v>650</v>
      </c>
      <c r="D35" s="362"/>
    </row>
    <row r="36" spans="1:7" s="342" customFormat="1" ht="19.5">
      <c r="A36" s="340">
        <v>2</v>
      </c>
      <c r="B36" s="378" t="s">
        <v>571</v>
      </c>
      <c r="C36" s="341">
        <f>C37+C38+C39+C43+C44</f>
        <v>2500</v>
      </c>
      <c r="D36" s="362"/>
    </row>
    <row r="37" spans="1:7">
      <c r="A37" s="333" t="s">
        <v>633</v>
      </c>
      <c r="B37" s="361" t="s">
        <v>166</v>
      </c>
      <c r="C37" s="330">
        <v>350</v>
      </c>
      <c r="D37" s="361" t="s">
        <v>166</v>
      </c>
    </row>
    <row r="38" spans="1:7">
      <c r="A38" s="333" t="s">
        <v>634</v>
      </c>
      <c r="B38" s="361" t="s">
        <v>572</v>
      </c>
      <c r="C38" s="330">
        <v>300</v>
      </c>
      <c r="D38" s="361" t="s">
        <v>572</v>
      </c>
    </row>
    <row r="39" spans="1:7">
      <c r="A39" s="333" t="s">
        <v>638</v>
      </c>
      <c r="B39" s="361" t="s">
        <v>615</v>
      </c>
      <c r="C39" s="330">
        <f>SUM(C40:C42)</f>
        <v>1600</v>
      </c>
      <c r="D39" s="328" t="s">
        <v>615</v>
      </c>
    </row>
    <row r="40" spans="1:7">
      <c r="A40" s="333" t="s">
        <v>641</v>
      </c>
      <c r="B40" s="328" t="s">
        <v>571</v>
      </c>
      <c r="C40" s="330">
        <v>650</v>
      </c>
      <c r="D40" s="328"/>
    </row>
    <row r="41" spans="1:7" s="342" customFormat="1" ht="56.25">
      <c r="A41" s="333" t="s">
        <v>642</v>
      </c>
      <c r="B41" s="328" t="s">
        <v>624</v>
      </c>
      <c r="C41" s="350">
        <v>600</v>
      </c>
      <c r="D41" s="362"/>
    </row>
    <row r="42" spans="1:7" s="342" customFormat="1" ht="37.5">
      <c r="A42" s="333" t="s">
        <v>643</v>
      </c>
      <c r="B42" s="328" t="s">
        <v>627</v>
      </c>
      <c r="C42" s="350">
        <v>350</v>
      </c>
      <c r="D42" s="362"/>
    </row>
    <row r="43" spans="1:7" ht="37.5">
      <c r="A43" s="333" t="s">
        <v>639</v>
      </c>
      <c r="B43" s="361" t="s">
        <v>631</v>
      </c>
      <c r="C43" s="330">
        <v>50</v>
      </c>
      <c r="D43" s="328" t="s">
        <v>573</v>
      </c>
    </row>
    <row r="44" spans="1:7" ht="37.5">
      <c r="A44" s="333" t="s">
        <v>640</v>
      </c>
      <c r="B44" s="361" t="s">
        <v>574</v>
      </c>
      <c r="C44" s="330">
        <v>200</v>
      </c>
      <c r="D44" s="328" t="s">
        <v>575</v>
      </c>
    </row>
    <row r="45" spans="1:7" s="342" customFormat="1" ht="39" hidden="1">
      <c r="A45" s="340" t="s">
        <v>158</v>
      </c>
      <c r="B45" s="378" t="s">
        <v>576</v>
      </c>
      <c r="C45" s="341">
        <v>5800</v>
      </c>
      <c r="D45" s="362"/>
    </row>
    <row r="46" spans="1:7" s="336" customFormat="1" ht="37.5">
      <c r="A46" s="335" t="s">
        <v>158</v>
      </c>
      <c r="B46" s="379" t="s">
        <v>577</v>
      </c>
      <c r="C46" s="332">
        <f>SUM(C47:C48)</f>
        <v>3800</v>
      </c>
      <c r="D46" s="349"/>
    </row>
    <row r="47" spans="1:7" ht="37.5">
      <c r="A47" s="333">
        <v>1</v>
      </c>
      <c r="B47" s="361" t="s">
        <v>587</v>
      </c>
      <c r="C47" s="330">
        <v>200</v>
      </c>
      <c r="D47" s="328" t="s">
        <v>614</v>
      </c>
    </row>
    <row r="48" spans="1:7" ht="56.25">
      <c r="A48" s="333">
        <v>2</v>
      </c>
      <c r="B48" s="361" t="s">
        <v>588</v>
      </c>
      <c r="C48" s="330">
        <v>3600</v>
      </c>
      <c r="D48" s="328" t="s">
        <v>615</v>
      </c>
      <c r="F48" s="304" t="s">
        <v>616</v>
      </c>
      <c r="G48" s="348">
        <f>C48+C20+C19+C21+C33+C39+C49</f>
        <v>15900</v>
      </c>
    </row>
    <row r="49" spans="1:4" ht="131.25">
      <c r="A49" s="335" t="s">
        <v>585</v>
      </c>
      <c r="B49" s="379" t="s">
        <v>646</v>
      </c>
      <c r="C49" s="332">
        <v>2000</v>
      </c>
      <c r="D49" s="328" t="s">
        <v>578</v>
      </c>
    </row>
    <row r="50" spans="1:4" s="336" customFormat="1" ht="37.5">
      <c r="A50" s="335" t="s">
        <v>629</v>
      </c>
      <c r="B50" s="379" t="s">
        <v>580</v>
      </c>
      <c r="C50" s="332">
        <f>C51+C52</f>
        <v>28785</v>
      </c>
      <c r="D50" s="328" t="s">
        <v>603</v>
      </c>
    </row>
    <row r="51" spans="1:4" ht="37.5">
      <c r="A51" s="333">
        <v>1</v>
      </c>
      <c r="B51" s="361" t="s">
        <v>581</v>
      </c>
      <c r="C51" s="330">
        <f>'PL4.Su nghiep huyen'!G20</f>
        <v>3485</v>
      </c>
      <c r="D51" s="328" t="s">
        <v>582</v>
      </c>
    </row>
    <row r="52" spans="1:4" ht="75">
      <c r="A52" s="333">
        <v>2</v>
      </c>
      <c r="B52" s="361" t="s">
        <v>583</v>
      </c>
      <c r="C52" s="330">
        <f>'PL4.Su nghiep huyen'!H20</f>
        <v>25300</v>
      </c>
      <c r="D52" s="328" t="s">
        <v>584</v>
      </c>
    </row>
    <row r="53" spans="1:4" s="336" customFormat="1">
      <c r="A53" s="338" t="s">
        <v>630</v>
      </c>
      <c r="B53" s="380" t="s">
        <v>613</v>
      </c>
      <c r="C53" s="339">
        <v>2065</v>
      </c>
      <c r="D53" s="329" t="s">
        <v>529</v>
      </c>
    </row>
    <row r="55" spans="1:4">
      <c r="D55" s="222" t="s">
        <v>649</v>
      </c>
    </row>
  </sheetData>
  <mergeCells count="7">
    <mergeCell ref="A1:D1"/>
    <mergeCell ref="A3:D3"/>
    <mergeCell ref="A4:A5"/>
    <mergeCell ref="B4:B5"/>
    <mergeCell ref="C4:C5"/>
    <mergeCell ref="D4:D5"/>
    <mergeCell ref="A2:D2"/>
  </mergeCells>
  <phoneticPr fontId="5" type="noConversion"/>
  <printOptions horizontalCentered="1"/>
  <pageMargins left="0" right="0" top="0.7" bottom="0.6" header="0.3" footer="0.3"/>
  <pageSetup paperSize="9" scale="85"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96"/>
  <sheetViews>
    <sheetView view="pageBreakPreview" topLeftCell="B1" zoomScale="115" zoomScaleNormal="100" zoomScaleSheetLayoutView="115" workbookViewId="0">
      <selection activeCell="C7" sqref="C7"/>
    </sheetView>
  </sheetViews>
  <sheetFormatPr defaultRowHeight="15"/>
  <cols>
    <col min="1" max="1" width="3.85546875" style="244" bestFit="1" customWidth="1"/>
    <col min="2" max="2" width="40.7109375" style="245" customWidth="1"/>
    <col min="3" max="3" width="18.85546875" style="224" customWidth="1"/>
    <col min="4" max="5" width="10.140625" style="240" customWidth="1"/>
    <col min="6" max="6" width="9.5703125" style="240" customWidth="1"/>
    <col min="7" max="7" width="8.7109375" style="240" bestFit="1" customWidth="1"/>
    <col min="8" max="9" width="9.140625" style="240" customWidth="1"/>
    <col min="10" max="10" width="8.140625" style="240" customWidth="1"/>
    <col min="11" max="11" width="9.140625" style="240" customWidth="1"/>
    <col min="12" max="12" width="8.7109375" style="240" hidden="1" customWidth="1"/>
    <col min="13" max="13" width="10.85546875" style="224" customWidth="1"/>
    <col min="14" max="14" width="12" style="224" customWidth="1"/>
    <col min="15" max="15" width="10.140625" style="224" hidden="1" customWidth="1"/>
    <col min="16" max="16" width="9.140625" style="224" hidden="1" customWidth="1"/>
    <col min="17" max="17" width="9.7109375" style="240" hidden="1" customWidth="1"/>
    <col min="18" max="18" width="9.7109375" style="240" customWidth="1"/>
    <col min="19" max="19" width="26" style="224" customWidth="1"/>
    <col min="20" max="20" width="23.7109375" style="224" customWidth="1"/>
    <col min="21" max="21" width="11.28515625" style="240" bestFit="1" customWidth="1"/>
    <col min="22" max="16384" width="9.140625" style="240"/>
  </cols>
  <sheetData>
    <row r="1" spans="1:22" ht="16.5" customHeight="1">
      <c r="A1" s="421" t="s">
        <v>450</v>
      </c>
      <c r="B1" s="421"/>
      <c r="C1" s="421"/>
      <c r="D1" s="421"/>
      <c r="E1" s="421"/>
      <c r="F1" s="421"/>
      <c r="G1" s="421"/>
      <c r="H1" s="421"/>
      <c r="I1" s="421"/>
      <c r="J1" s="421"/>
      <c r="K1" s="421"/>
      <c r="L1" s="421"/>
      <c r="M1" s="421"/>
      <c r="N1" s="421"/>
      <c r="O1" s="421"/>
      <c r="P1" s="421"/>
      <c r="Q1" s="421"/>
      <c r="R1" s="421"/>
      <c r="S1" s="421"/>
      <c r="T1" s="290"/>
    </row>
    <row r="2" spans="1:22" ht="20.25">
      <c r="A2" s="422" t="s">
        <v>489</v>
      </c>
      <c r="B2" s="422"/>
      <c r="C2" s="422"/>
      <c r="D2" s="422"/>
      <c r="E2" s="422"/>
      <c r="F2" s="422"/>
      <c r="G2" s="422"/>
      <c r="H2" s="422"/>
      <c r="I2" s="422"/>
      <c r="J2" s="422"/>
      <c r="K2" s="422"/>
      <c r="L2" s="422"/>
      <c r="M2" s="422"/>
      <c r="N2" s="422"/>
      <c r="O2" s="422"/>
      <c r="P2" s="422"/>
      <c r="Q2" s="422"/>
      <c r="R2" s="422"/>
      <c r="S2" s="422"/>
      <c r="T2" s="291"/>
    </row>
    <row r="3" spans="1:22" ht="20.25">
      <c r="A3" s="422" t="s">
        <v>552</v>
      </c>
      <c r="B3" s="422"/>
      <c r="C3" s="422"/>
      <c r="D3" s="422"/>
      <c r="E3" s="422"/>
      <c r="F3" s="422"/>
      <c r="G3" s="422"/>
      <c r="H3" s="422"/>
      <c r="I3" s="422"/>
      <c r="J3" s="422"/>
      <c r="K3" s="422"/>
      <c r="L3" s="422"/>
      <c r="M3" s="422"/>
      <c r="N3" s="422"/>
      <c r="O3" s="422"/>
      <c r="P3" s="422"/>
      <c r="Q3" s="422"/>
      <c r="R3" s="422"/>
      <c r="S3" s="422"/>
      <c r="T3" s="292"/>
    </row>
    <row r="4" spans="1:22" ht="45" customHeight="1">
      <c r="A4" s="359"/>
      <c r="B4" s="428" t="s">
        <v>655</v>
      </c>
      <c r="C4" s="428"/>
      <c r="D4" s="428"/>
      <c r="E4" s="428"/>
      <c r="F4" s="428"/>
      <c r="G4" s="428"/>
      <c r="H4" s="428"/>
      <c r="I4" s="428"/>
      <c r="J4" s="428"/>
      <c r="K4" s="428"/>
      <c r="L4" s="428"/>
      <c r="M4" s="428"/>
      <c r="N4" s="428"/>
      <c r="O4" s="428"/>
      <c r="P4" s="428"/>
      <c r="Q4" s="428"/>
      <c r="R4" s="428"/>
      <c r="S4" s="428"/>
    </row>
    <row r="5" spans="1:22" ht="45" customHeight="1">
      <c r="B5" s="325"/>
      <c r="C5" s="325"/>
      <c r="D5" s="325"/>
      <c r="E5" s="326"/>
      <c r="F5" s="325"/>
      <c r="G5" s="325"/>
      <c r="H5" s="325"/>
      <c r="I5" s="325"/>
      <c r="J5" s="325"/>
      <c r="K5" s="325"/>
      <c r="L5" s="325"/>
      <c r="M5" s="325"/>
      <c r="N5" s="240"/>
      <c r="O5" s="327"/>
      <c r="P5" s="327"/>
      <c r="Q5" s="327"/>
      <c r="R5" s="327"/>
      <c r="S5" s="429" t="s">
        <v>650</v>
      </c>
      <c r="T5" s="429"/>
    </row>
    <row r="6" spans="1:22" s="226" customFormat="1" ht="60" customHeight="1">
      <c r="A6" s="423" t="s">
        <v>148</v>
      </c>
      <c r="B6" s="423" t="s">
        <v>461</v>
      </c>
      <c r="C6" s="423" t="s">
        <v>524</v>
      </c>
      <c r="D6" s="423"/>
      <c r="E6" s="419" t="s">
        <v>525</v>
      </c>
      <c r="F6" s="425" t="s">
        <v>516</v>
      </c>
      <c r="G6" s="426"/>
      <c r="H6" s="426"/>
      <c r="I6" s="426"/>
      <c r="J6" s="426"/>
      <c r="K6" s="426"/>
      <c r="L6" s="427"/>
      <c r="M6" s="424" t="s">
        <v>514</v>
      </c>
      <c r="N6" s="424"/>
      <c r="O6" s="419" t="s">
        <v>472</v>
      </c>
      <c r="P6" s="419" t="s">
        <v>476</v>
      </c>
      <c r="Q6" s="419" t="s">
        <v>477</v>
      </c>
      <c r="R6" s="419" t="s">
        <v>488</v>
      </c>
      <c r="S6" s="419" t="s">
        <v>464</v>
      </c>
      <c r="T6" s="423" t="s">
        <v>167</v>
      </c>
    </row>
    <row r="7" spans="1:22" s="226" customFormat="1" ht="57">
      <c r="A7" s="423"/>
      <c r="B7" s="423"/>
      <c r="C7" s="280" t="s">
        <v>515</v>
      </c>
      <c r="D7" s="280" t="s">
        <v>453</v>
      </c>
      <c r="E7" s="420"/>
      <c r="F7" s="280" t="s">
        <v>454</v>
      </c>
      <c r="G7" s="280" t="s">
        <v>177</v>
      </c>
      <c r="H7" s="280" t="s">
        <v>457</v>
      </c>
      <c r="I7" s="280" t="s">
        <v>458</v>
      </c>
      <c r="J7" s="280" t="s">
        <v>459</v>
      </c>
      <c r="K7" s="280" t="s">
        <v>460</v>
      </c>
      <c r="L7" s="280" t="s">
        <v>463</v>
      </c>
      <c r="M7" s="227" t="s">
        <v>452</v>
      </c>
      <c r="N7" s="297" t="s">
        <v>462</v>
      </c>
      <c r="O7" s="420"/>
      <c r="P7" s="420"/>
      <c r="Q7" s="420"/>
      <c r="R7" s="420"/>
      <c r="S7" s="420"/>
      <c r="T7" s="423"/>
    </row>
    <row r="8" spans="1:22" s="226" customFormat="1" ht="14.25">
      <c r="A8" s="280"/>
      <c r="B8" s="280" t="s">
        <v>478</v>
      </c>
      <c r="C8" s="280"/>
      <c r="D8" s="228">
        <f>D9+D11+D15+D18</f>
        <v>119588.755</v>
      </c>
      <c r="E8" s="228">
        <f t="shared" ref="E8:R8" si="0">E9+E11+E15+E18</f>
        <v>0</v>
      </c>
      <c r="F8" s="228">
        <f t="shared" si="0"/>
        <v>33111.79</v>
      </c>
      <c r="G8" s="228">
        <f t="shared" si="0"/>
        <v>0</v>
      </c>
      <c r="H8" s="228">
        <f t="shared" si="0"/>
        <v>5085.24</v>
      </c>
      <c r="I8" s="228">
        <f t="shared" si="0"/>
        <v>13008.174999999999</v>
      </c>
      <c r="J8" s="228">
        <f t="shared" si="0"/>
        <v>11856.55</v>
      </c>
      <c r="K8" s="228">
        <f t="shared" si="0"/>
        <v>22827</v>
      </c>
      <c r="L8" s="228">
        <f t="shared" si="0"/>
        <v>0</v>
      </c>
      <c r="M8" s="228">
        <f t="shared" si="0"/>
        <v>10000</v>
      </c>
      <c r="N8" s="228">
        <f t="shared" si="0"/>
        <v>0</v>
      </c>
      <c r="O8" s="228">
        <f t="shared" si="0"/>
        <v>39980.887000000002</v>
      </c>
      <c r="P8" s="228" t="e">
        <f t="shared" si="0"/>
        <v>#REF!</v>
      </c>
      <c r="Q8" s="228">
        <f t="shared" si="0"/>
        <v>15396.49</v>
      </c>
      <c r="R8" s="228">
        <f t="shared" si="0"/>
        <v>33600</v>
      </c>
      <c r="S8" s="279"/>
      <c r="T8" s="275"/>
      <c r="U8" s="313">
        <v>33600</v>
      </c>
      <c r="V8" s="307"/>
    </row>
    <row r="9" spans="1:22" s="233" customFormat="1" ht="14.25">
      <c r="A9" s="229" t="s">
        <v>149</v>
      </c>
      <c r="B9" s="230" t="s">
        <v>456</v>
      </c>
      <c r="C9" s="280"/>
      <c r="D9" s="232">
        <f>SUM(D10:D10)</f>
        <v>18235.555</v>
      </c>
      <c r="E9" s="232"/>
      <c r="F9" s="232">
        <f t="shared" ref="F9:L9" si="1">SUM(F10:F10)</f>
        <v>13670</v>
      </c>
      <c r="G9" s="232">
        <f t="shared" si="1"/>
        <v>0</v>
      </c>
      <c r="H9" s="232">
        <f t="shared" si="1"/>
        <v>0</v>
      </c>
      <c r="I9" s="232">
        <f t="shared" si="1"/>
        <v>4565.5550000000003</v>
      </c>
      <c r="J9" s="232">
        <f t="shared" si="1"/>
        <v>0</v>
      </c>
      <c r="K9" s="232">
        <f t="shared" si="1"/>
        <v>0</v>
      </c>
      <c r="L9" s="232">
        <f t="shared" si="1"/>
        <v>0</v>
      </c>
      <c r="M9" s="232"/>
      <c r="N9" s="308"/>
      <c r="O9" s="232">
        <f>SUM(O10:O10)</f>
        <v>4454.6869999999999</v>
      </c>
      <c r="P9" s="232">
        <f>SUM(P10:P10)</f>
        <v>0</v>
      </c>
      <c r="Q9" s="232">
        <f>SUM(Q10:Q10)</f>
        <v>4454.7</v>
      </c>
      <c r="R9" s="232">
        <f>SUM(R10:R10)</f>
        <v>4450</v>
      </c>
      <c r="S9" s="280"/>
      <c r="T9" s="232"/>
      <c r="U9" s="272">
        <f>U8-R9-R11-R15</f>
        <v>16458</v>
      </c>
      <c r="V9" s="277"/>
    </row>
    <row r="10" spans="1:22" ht="45">
      <c r="A10" s="234">
        <v>1</v>
      </c>
      <c r="B10" s="235" t="s">
        <v>474</v>
      </c>
      <c r="C10" s="223" t="s">
        <v>473</v>
      </c>
      <c r="D10" s="237">
        <v>18235.555</v>
      </c>
      <c r="E10" s="237"/>
      <c r="F10" s="237">
        <v>13670</v>
      </c>
      <c r="G10" s="237"/>
      <c r="H10" s="237"/>
      <c r="I10" s="237">
        <v>4565.5550000000003</v>
      </c>
      <c r="J10" s="237"/>
      <c r="K10" s="237"/>
      <c r="L10" s="237"/>
      <c r="M10" s="237">
        <v>10055</v>
      </c>
      <c r="N10" s="223"/>
      <c r="O10" s="225">
        <v>4454.6869999999999</v>
      </c>
      <c r="Q10" s="269">
        <v>4454.7</v>
      </c>
      <c r="R10" s="239">
        <v>4450</v>
      </c>
      <c r="S10" s="223" t="s">
        <v>547</v>
      </c>
      <c r="T10" s="223" t="s">
        <v>475</v>
      </c>
      <c r="U10" s="271"/>
    </row>
    <row r="11" spans="1:22" s="233" customFormat="1" ht="14.25">
      <c r="A11" s="229" t="s">
        <v>150</v>
      </c>
      <c r="B11" s="230" t="s">
        <v>513</v>
      </c>
      <c r="C11" s="280"/>
      <c r="D11" s="241">
        <f t="shared" ref="D11:Q11" si="2">SUM(D12:D14)</f>
        <v>30253.200000000001</v>
      </c>
      <c r="E11" s="241">
        <f t="shared" si="2"/>
        <v>0</v>
      </c>
      <c r="F11" s="241">
        <f t="shared" si="2"/>
        <v>11691.79</v>
      </c>
      <c r="G11" s="241">
        <f t="shared" si="2"/>
        <v>0</v>
      </c>
      <c r="H11" s="241">
        <f t="shared" si="2"/>
        <v>2085.2399999999998</v>
      </c>
      <c r="I11" s="241">
        <f t="shared" si="2"/>
        <v>1042.6199999999999</v>
      </c>
      <c r="J11" s="241">
        <f t="shared" si="2"/>
        <v>2606.5500000000002</v>
      </c>
      <c r="K11" s="241">
        <f t="shared" si="2"/>
        <v>12827</v>
      </c>
      <c r="L11" s="241">
        <f t="shared" si="2"/>
        <v>0</v>
      </c>
      <c r="M11" s="241">
        <f t="shared" si="2"/>
        <v>10000</v>
      </c>
      <c r="N11" s="241">
        <f t="shared" si="2"/>
        <v>0</v>
      </c>
      <c r="O11" s="241">
        <f t="shared" si="2"/>
        <v>7426.2000000000007</v>
      </c>
      <c r="P11" s="241">
        <f t="shared" si="2"/>
        <v>-7838</v>
      </c>
      <c r="Q11" s="241">
        <f t="shared" si="2"/>
        <v>1691.79</v>
      </c>
      <c r="R11" s="241">
        <f>SUM(R12:R14)</f>
        <v>7692</v>
      </c>
      <c r="S11" s="280"/>
      <c r="T11" s="293"/>
      <c r="U11" s="277"/>
    </row>
    <row r="12" spans="1:22" s="244" customFormat="1" ht="45">
      <c r="A12" s="234">
        <v>3</v>
      </c>
      <c r="B12" s="235" t="s">
        <v>537</v>
      </c>
      <c r="C12" s="223" t="s">
        <v>540</v>
      </c>
      <c r="D12" s="242">
        <v>11989</v>
      </c>
      <c r="E12" s="223" t="s">
        <v>539</v>
      </c>
      <c r="F12" s="310">
        <v>4000</v>
      </c>
      <c r="G12" s="310"/>
      <c r="I12" s="310"/>
      <c r="J12" s="310"/>
      <c r="K12" s="310">
        <v>7989</v>
      </c>
      <c r="L12" s="310"/>
      <c r="M12" s="310">
        <v>4000</v>
      </c>
      <c r="N12" s="223" t="s">
        <v>538</v>
      </c>
      <c r="O12" s="223"/>
      <c r="P12" s="238">
        <f>F12-M12</f>
        <v>0</v>
      </c>
      <c r="Q12" s="238">
        <f>I12</f>
        <v>0</v>
      </c>
      <c r="R12" s="243">
        <v>4000</v>
      </c>
      <c r="S12" s="223" t="s">
        <v>465</v>
      </c>
      <c r="T12" s="223"/>
      <c r="U12" s="311">
        <f>D12*0.75</f>
        <v>8991.75</v>
      </c>
    </row>
    <row r="13" spans="1:22" s="244" customFormat="1" ht="45">
      <c r="A13" s="234">
        <v>2</v>
      </c>
      <c r="B13" s="235" t="s">
        <v>541</v>
      </c>
      <c r="C13" s="223" t="s">
        <v>540</v>
      </c>
      <c r="D13" s="310">
        <v>7838</v>
      </c>
      <c r="E13" s="223" t="s">
        <v>542</v>
      </c>
      <c r="F13" s="310">
        <v>3000</v>
      </c>
      <c r="G13" s="310"/>
      <c r="H13" s="310"/>
      <c r="I13" s="310"/>
      <c r="J13" s="310"/>
      <c r="K13" s="310">
        <v>4838</v>
      </c>
      <c r="L13" s="310"/>
      <c r="M13" s="310">
        <v>3000</v>
      </c>
      <c r="N13" s="223" t="s">
        <v>538</v>
      </c>
      <c r="O13" s="223"/>
      <c r="P13" s="238">
        <f>G13-D13</f>
        <v>-7838</v>
      </c>
      <c r="Q13" s="238">
        <f>I13</f>
        <v>0</v>
      </c>
      <c r="R13" s="243">
        <v>2000</v>
      </c>
      <c r="S13" s="223" t="s">
        <v>465</v>
      </c>
      <c r="T13" s="223"/>
      <c r="U13" s="312"/>
    </row>
    <row r="14" spans="1:22" s="244" customFormat="1" ht="45">
      <c r="A14" s="234">
        <v>4</v>
      </c>
      <c r="B14" s="235" t="s">
        <v>466</v>
      </c>
      <c r="C14" s="223" t="s">
        <v>526</v>
      </c>
      <c r="D14" s="242">
        <v>10426.200000000001</v>
      </c>
      <c r="E14" s="223" t="s">
        <v>468</v>
      </c>
      <c r="F14" s="242">
        <v>4691.79</v>
      </c>
      <c r="G14" s="242"/>
      <c r="H14" s="242">
        <v>2085.2399999999998</v>
      </c>
      <c r="I14" s="242">
        <v>1042.6199999999999</v>
      </c>
      <c r="J14" s="242">
        <v>2606.5500000000002</v>
      </c>
      <c r="K14" s="242"/>
      <c r="L14" s="242"/>
      <c r="M14" s="242">
        <v>3000</v>
      </c>
      <c r="N14" s="223" t="s">
        <v>533</v>
      </c>
      <c r="O14" s="238">
        <f>D14-M14</f>
        <v>7426.2000000000007</v>
      </c>
      <c r="P14" s="238">
        <f>G14</f>
        <v>0</v>
      </c>
      <c r="Q14" s="243">
        <f>F14-M14</f>
        <v>1691.79</v>
      </c>
      <c r="R14" s="243">
        <v>1692</v>
      </c>
      <c r="S14" s="223" t="s">
        <v>467</v>
      </c>
      <c r="T14" s="223" t="s">
        <v>534</v>
      </c>
    </row>
    <row r="15" spans="1:22" s="233" customFormat="1" ht="14.25">
      <c r="A15" s="229" t="s">
        <v>155</v>
      </c>
      <c r="B15" s="230" t="s">
        <v>536</v>
      </c>
      <c r="C15" s="280"/>
      <c r="D15" s="232">
        <f>SUM(D16:D195)</f>
        <v>71100</v>
      </c>
      <c r="E15" s="232"/>
      <c r="F15" s="232">
        <f t="shared" ref="F15:Q15" si="3">SUM(F16:F195)</f>
        <v>7750</v>
      </c>
      <c r="G15" s="232">
        <f t="shared" si="3"/>
        <v>0</v>
      </c>
      <c r="H15" s="232">
        <f t="shared" si="3"/>
        <v>3000</v>
      </c>
      <c r="I15" s="232">
        <f t="shared" si="3"/>
        <v>7400</v>
      </c>
      <c r="J15" s="232">
        <f t="shared" si="3"/>
        <v>9250</v>
      </c>
      <c r="K15" s="232">
        <f t="shared" si="3"/>
        <v>10000</v>
      </c>
      <c r="L15" s="232">
        <f t="shared" si="3"/>
        <v>0</v>
      </c>
      <c r="M15" s="232">
        <f t="shared" si="3"/>
        <v>0</v>
      </c>
      <c r="N15" s="308">
        <f t="shared" si="3"/>
        <v>0</v>
      </c>
      <c r="O15" s="232">
        <f t="shared" si="3"/>
        <v>28100</v>
      </c>
      <c r="P15" s="232" t="e">
        <f t="shared" si="3"/>
        <v>#REF!</v>
      </c>
      <c r="Q15" s="232">
        <f t="shared" si="3"/>
        <v>9250</v>
      </c>
      <c r="R15" s="232">
        <f>SUM(R16:R17)</f>
        <v>5000</v>
      </c>
      <c r="S15" s="280"/>
      <c r="T15" s="293"/>
    </row>
    <row r="16" spans="1:22" ht="45">
      <c r="A16" s="234">
        <v>1</v>
      </c>
      <c r="B16" s="235" t="s">
        <v>455</v>
      </c>
      <c r="C16" s="223" t="s">
        <v>527</v>
      </c>
      <c r="D16" s="237">
        <v>10000</v>
      </c>
      <c r="E16" s="223" t="s">
        <v>517</v>
      </c>
      <c r="F16" s="237">
        <v>2000</v>
      </c>
      <c r="G16" s="237"/>
      <c r="H16" s="237">
        <v>1000</v>
      </c>
      <c r="I16" s="237">
        <v>1500</v>
      </c>
      <c r="J16" s="237">
        <v>2500</v>
      </c>
      <c r="K16" s="237">
        <v>3000</v>
      </c>
      <c r="L16" s="237"/>
      <c r="M16" s="237"/>
      <c r="N16" s="223"/>
      <c r="O16" s="238">
        <f>D16-M16</f>
        <v>10000</v>
      </c>
      <c r="P16" s="238">
        <f>G16</f>
        <v>0</v>
      </c>
      <c r="Q16" s="238">
        <v>3000</v>
      </c>
      <c r="R16" s="243">
        <v>2000</v>
      </c>
      <c r="S16" s="223" t="s">
        <v>471</v>
      </c>
      <c r="T16" s="223"/>
    </row>
    <row r="17" spans="1:21" ht="45">
      <c r="A17" s="223">
        <v>2</v>
      </c>
      <c r="B17" s="235" t="s">
        <v>469</v>
      </c>
      <c r="C17" s="223" t="s">
        <v>528</v>
      </c>
      <c r="D17" s="237">
        <v>14400</v>
      </c>
      <c r="E17" s="223" t="s">
        <v>522</v>
      </c>
      <c r="F17" s="237">
        <v>3000</v>
      </c>
      <c r="G17" s="237"/>
      <c r="H17" s="237">
        <v>1000</v>
      </c>
      <c r="I17" s="237">
        <v>3900</v>
      </c>
      <c r="J17" s="237">
        <v>3500</v>
      </c>
      <c r="K17" s="237">
        <v>3000</v>
      </c>
      <c r="L17" s="237"/>
      <c r="M17" s="237"/>
      <c r="N17" s="223"/>
      <c r="O17" s="238">
        <f>D17-M17</f>
        <v>14400</v>
      </c>
      <c r="P17" s="238">
        <v>0</v>
      </c>
      <c r="Q17" s="238">
        <v>3000</v>
      </c>
      <c r="R17" s="243">
        <v>3000</v>
      </c>
      <c r="S17" s="223" t="s">
        <v>470</v>
      </c>
      <c r="T17" s="223"/>
      <c r="U17" s="271"/>
    </row>
    <row r="18" spans="1:21" s="233" customFormat="1" ht="38.25" customHeight="1">
      <c r="A18" s="229" t="s">
        <v>157</v>
      </c>
      <c r="B18" s="230" t="s">
        <v>529</v>
      </c>
      <c r="C18" s="231"/>
      <c r="D18" s="306"/>
      <c r="E18" s="296"/>
      <c r="F18" s="296"/>
      <c r="G18" s="306"/>
      <c r="H18" s="306"/>
      <c r="I18" s="306"/>
      <c r="J18" s="306"/>
      <c r="K18" s="306"/>
      <c r="L18" s="306"/>
      <c r="M18" s="306"/>
      <c r="N18" s="309"/>
      <c r="O18" s="296"/>
      <c r="P18" s="275"/>
      <c r="Q18" s="275"/>
      <c r="R18" s="276">
        <f>U9</f>
        <v>16458</v>
      </c>
      <c r="S18" s="231"/>
      <c r="T18" s="296"/>
    </row>
    <row r="19" spans="1:21" s="233" customFormat="1" ht="21" customHeight="1">
      <c r="A19" s="317"/>
      <c r="B19" s="318"/>
      <c r="C19" s="319"/>
      <c r="D19" s="320"/>
      <c r="E19" s="321"/>
      <c r="F19" s="321"/>
      <c r="G19" s="320"/>
      <c r="H19" s="320"/>
      <c r="I19" s="320"/>
      <c r="J19" s="320"/>
      <c r="K19" s="320"/>
      <c r="L19" s="320"/>
      <c r="M19" s="320"/>
      <c r="N19" s="322"/>
      <c r="O19" s="321"/>
      <c r="P19" s="323"/>
      <c r="Q19" s="323"/>
      <c r="R19" s="324"/>
      <c r="S19" s="319"/>
      <c r="T19" s="321"/>
    </row>
    <row r="20" spans="1:21" s="233" customFormat="1" ht="21" customHeight="1">
      <c r="A20" s="317"/>
      <c r="B20" s="318"/>
      <c r="C20" s="319"/>
      <c r="D20" s="320"/>
      <c r="E20" s="321"/>
      <c r="F20" s="321"/>
      <c r="G20" s="320"/>
      <c r="H20" s="320"/>
      <c r="I20" s="320"/>
      <c r="J20" s="320"/>
      <c r="K20" s="320"/>
      <c r="L20" s="320"/>
      <c r="M20" s="320"/>
      <c r="N20" s="322"/>
      <c r="O20" s="321"/>
      <c r="P20" s="323"/>
      <c r="Q20" s="323"/>
      <c r="R20" s="324"/>
      <c r="S20" s="352" t="s">
        <v>649</v>
      </c>
      <c r="T20" s="321"/>
    </row>
    <row r="21" spans="1:21" s="233" customFormat="1" ht="38.25" customHeight="1">
      <c r="A21" s="317"/>
      <c r="B21" s="318"/>
      <c r="C21" s="319"/>
      <c r="D21" s="320"/>
      <c r="E21" s="321"/>
      <c r="F21" s="321"/>
      <c r="G21" s="320"/>
      <c r="H21" s="320"/>
      <c r="I21" s="320"/>
      <c r="J21" s="320"/>
      <c r="K21" s="320"/>
      <c r="L21" s="320"/>
      <c r="M21" s="320"/>
      <c r="N21" s="322"/>
      <c r="O21" s="321"/>
      <c r="P21" s="323"/>
      <c r="Q21" s="323"/>
      <c r="R21" s="324"/>
      <c r="S21" s="319"/>
      <c r="T21" s="321"/>
    </row>
    <row r="22" spans="1:21" s="233" customFormat="1" ht="38.25" customHeight="1">
      <c r="A22" s="317"/>
      <c r="B22" s="318"/>
      <c r="C22" s="319"/>
      <c r="D22" s="320"/>
      <c r="E22" s="321"/>
      <c r="F22" s="321"/>
      <c r="G22" s="320"/>
      <c r="H22" s="320"/>
      <c r="I22" s="320"/>
      <c r="J22" s="320"/>
      <c r="K22" s="320"/>
      <c r="L22" s="320"/>
      <c r="M22" s="320"/>
      <c r="N22" s="322"/>
      <c r="O22" s="321"/>
      <c r="P22" s="323"/>
      <c r="Q22" s="323"/>
      <c r="R22" s="324"/>
      <c r="S22" s="319"/>
      <c r="T22" s="321"/>
    </row>
    <row r="23" spans="1:21" s="233" customFormat="1" ht="38.25" customHeight="1">
      <c r="A23" s="317"/>
      <c r="B23" s="318"/>
      <c r="C23" s="319"/>
      <c r="D23" s="320"/>
      <c r="E23" s="321"/>
      <c r="F23" s="321"/>
      <c r="G23" s="320"/>
      <c r="H23" s="320"/>
      <c r="I23" s="320"/>
      <c r="J23" s="320"/>
      <c r="K23" s="320"/>
      <c r="L23" s="320"/>
      <c r="M23" s="320"/>
      <c r="N23" s="322"/>
      <c r="O23" s="321"/>
      <c r="P23" s="323"/>
      <c r="Q23" s="323"/>
      <c r="R23" s="324"/>
      <c r="S23" s="319"/>
      <c r="T23" s="321"/>
    </row>
    <row r="24" spans="1:21" s="233" customFormat="1" ht="38.25" customHeight="1">
      <c r="A24" s="317"/>
      <c r="B24" s="318"/>
      <c r="C24" s="319"/>
      <c r="D24" s="320"/>
      <c r="E24" s="321"/>
      <c r="F24" s="321"/>
      <c r="G24" s="320"/>
      <c r="H24" s="320"/>
      <c r="I24" s="320"/>
      <c r="J24" s="320"/>
      <c r="K24" s="320"/>
      <c r="L24" s="320"/>
      <c r="M24" s="320"/>
      <c r="N24" s="322"/>
      <c r="O24" s="321"/>
      <c r="P24" s="323"/>
      <c r="Q24" s="323"/>
      <c r="R24" s="324"/>
      <c r="S24" s="319"/>
      <c r="T24" s="321"/>
    </row>
    <row r="25" spans="1:21" s="233" customFormat="1" ht="38.25" customHeight="1">
      <c r="A25" s="317"/>
      <c r="B25" s="318"/>
      <c r="C25" s="319"/>
      <c r="D25" s="320"/>
      <c r="E25" s="321"/>
      <c r="F25" s="321"/>
      <c r="G25" s="320"/>
      <c r="H25" s="320"/>
      <c r="I25" s="320"/>
      <c r="J25" s="320"/>
      <c r="K25" s="320"/>
      <c r="L25" s="320"/>
      <c r="M25" s="320"/>
      <c r="N25" s="322"/>
      <c r="O25" s="321"/>
      <c r="P25" s="323"/>
      <c r="Q25" s="323"/>
      <c r="R25" s="324"/>
      <c r="S25" s="319"/>
      <c r="T25" s="321"/>
    </row>
    <row r="26" spans="1:21" s="233" customFormat="1" ht="38.25" customHeight="1">
      <c r="A26" s="317"/>
      <c r="B26" s="318"/>
      <c r="C26" s="319"/>
      <c r="D26" s="320"/>
      <c r="E26" s="321"/>
      <c r="F26" s="321"/>
      <c r="G26" s="320"/>
      <c r="H26" s="320"/>
      <c r="I26" s="320"/>
      <c r="J26" s="320"/>
      <c r="K26" s="320"/>
      <c r="L26" s="320"/>
      <c r="M26" s="320"/>
      <c r="N26" s="322"/>
      <c r="O26" s="321"/>
      <c r="P26" s="323"/>
      <c r="Q26" s="323"/>
      <c r="R26" s="324"/>
      <c r="S26" s="319"/>
      <c r="T26" s="321"/>
    </row>
    <row r="27" spans="1:21" s="233" customFormat="1" ht="38.25" customHeight="1">
      <c r="A27" s="317"/>
      <c r="B27" s="318"/>
      <c r="C27" s="319"/>
      <c r="D27" s="320"/>
      <c r="E27" s="321"/>
      <c r="F27" s="321"/>
      <c r="G27" s="320"/>
      <c r="H27" s="320"/>
      <c r="I27" s="320"/>
      <c r="J27" s="320"/>
      <c r="K27" s="320"/>
      <c r="L27" s="320"/>
      <c r="M27" s="320"/>
      <c r="N27" s="322"/>
      <c r="O27" s="321"/>
      <c r="P27" s="323"/>
      <c r="Q27" s="323"/>
      <c r="R27" s="324"/>
      <c r="S27" s="319"/>
      <c r="T27" s="321"/>
    </row>
    <row r="28" spans="1:21" s="233" customFormat="1" ht="38.25" customHeight="1">
      <c r="A28" s="317"/>
      <c r="B28" s="318"/>
      <c r="C28" s="319"/>
      <c r="D28" s="320"/>
      <c r="E28" s="321"/>
      <c r="F28" s="321"/>
      <c r="G28" s="320"/>
      <c r="H28" s="320"/>
      <c r="I28" s="320"/>
      <c r="J28" s="320"/>
      <c r="K28" s="320"/>
      <c r="L28" s="320"/>
      <c r="M28" s="320"/>
      <c r="N28" s="322"/>
      <c r="O28" s="321"/>
      <c r="P28" s="323"/>
      <c r="Q28" s="323"/>
      <c r="R28" s="324"/>
      <c r="S28" s="319"/>
      <c r="T28" s="321"/>
    </row>
    <row r="29" spans="1:21" s="233" customFormat="1" ht="38.25" customHeight="1">
      <c r="A29" s="317"/>
      <c r="B29" s="318"/>
      <c r="C29" s="319"/>
      <c r="D29" s="320"/>
      <c r="E29" s="321"/>
      <c r="F29" s="321"/>
      <c r="G29" s="320"/>
      <c r="H29" s="320"/>
      <c r="I29" s="320"/>
      <c r="J29" s="320"/>
      <c r="K29" s="320"/>
      <c r="L29" s="320"/>
      <c r="M29" s="320"/>
      <c r="N29" s="322"/>
      <c r="O29" s="321"/>
      <c r="P29" s="323"/>
      <c r="Q29" s="323"/>
      <c r="R29" s="324"/>
      <c r="S29" s="319"/>
      <c r="T29" s="321"/>
    </row>
    <row r="30" spans="1:21" s="233" customFormat="1" ht="38.25" customHeight="1">
      <c r="A30" s="317"/>
      <c r="B30" s="318"/>
      <c r="C30" s="319"/>
      <c r="D30" s="320"/>
      <c r="E30" s="321"/>
      <c r="F30" s="321"/>
      <c r="G30" s="320"/>
      <c r="H30" s="320"/>
      <c r="I30" s="320"/>
      <c r="J30" s="320"/>
      <c r="K30" s="320"/>
      <c r="L30" s="320"/>
      <c r="M30" s="320"/>
      <c r="N30" s="322"/>
      <c r="O30" s="321"/>
      <c r="P30" s="323"/>
      <c r="Q30" s="323"/>
      <c r="R30" s="324"/>
      <c r="S30" s="319"/>
      <c r="T30" s="321"/>
    </row>
    <row r="31" spans="1:21" s="233" customFormat="1" ht="38.25" customHeight="1">
      <c r="A31" s="317"/>
      <c r="B31" s="318"/>
      <c r="C31" s="319"/>
      <c r="D31" s="320"/>
      <c r="E31" s="321"/>
      <c r="F31" s="321"/>
      <c r="G31" s="320"/>
      <c r="H31" s="320"/>
      <c r="I31" s="320"/>
      <c r="J31" s="320"/>
      <c r="K31" s="320"/>
      <c r="L31" s="320"/>
      <c r="M31" s="320"/>
      <c r="N31" s="322"/>
      <c r="O31" s="321"/>
      <c r="P31" s="323"/>
      <c r="Q31" s="323"/>
      <c r="R31" s="324"/>
      <c r="S31" s="319"/>
      <c r="T31" s="321"/>
    </row>
    <row r="32" spans="1:21" s="233" customFormat="1" ht="38.25" customHeight="1">
      <c r="A32" s="317"/>
      <c r="B32" s="318"/>
      <c r="C32" s="319"/>
      <c r="D32" s="320"/>
      <c r="E32" s="321"/>
      <c r="F32" s="321"/>
      <c r="G32" s="320"/>
      <c r="H32" s="320"/>
      <c r="I32" s="320"/>
      <c r="J32" s="320"/>
      <c r="K32" s="320"/>
      <c r="L32" s="320"/>
      <c r="M32" s="320"/>
      <c r="N32" s="322"/>
      <c r="O32" s="321"/>
      <c r="P32" s="323"/>
      <c r="Q32" s="323"/>
      <c r="R32" s="324"/>
      <c r="S32" s="319"/>
      <c r="T32" s="321"/>
    </row>
    <row r="33" spans="1:20" s="233" customFormat="1" ht="38.25" customHeight="1">
      <c r="A33" s="317"/>
      <c r="B33" s="318"/>
      <c r="C33" s="319"/>
      <c r="D33" s="320"/>
      <c r="E33" s="321"/>
      <c r="F33" s="321"/>
      <c r="G33" s="320"/>
      <c r="H33" s="320"/>
      <c r="I33" s="320"/>
      <c r="J33" s="320"/>
      <c r="K33" s="320"/>
      <c r="L33" s="320"/>
      <c r="M33" s="320"/>
      <c r="N33" s="322"/>
      <c r="O33" s="321"/>
      <c r="P33" s="323"/>
      <c r="Q33" s="323"/>
      <c r="R33" s="324"/>
      <c r="S33" s="319"/>
      <c r="T33" s="321"/>
    </row>
    <row r="34" spans="1:20" s="233" customFormat="1" ht="38.25" customHeight="1">
      <c r="A34" s="317"/>
      <c r="B34" s="318"/>
      <c r="C34" s="319"/>
      <c r="D34" s="320"/>
      <c r="E34" s="321"/>
      <c r="F34" s="321"/>
      <c r="G34" s="320"/>
      <c r="H34" s="320"/>
      <c r="I34" s="320"/>
      <c r="J34" s="320"/>
      <c r="K34" s="320"/>
      <c r="L34" s="320"/>
      <c r="M34" s="320"/>
      <c r="N34" s="322"/>
      <c r="O34" s="321"/>
      <c r="P34" s="323"/>
      <c r="Q34" s="323"/>
      <c r="R34" s="324"/>
      <c r="S34" s="319"/>
      <c r="T34" s="321"/>
    </row>
    <row r="35" spans="1:20" s="233" customFormat="1" ht="38.25" customHeight="1">
      <c r="A35" s="317"/>
      <c r="B35" s="318"/>
      <c r="C35" s="319"/>
      <c r="D35" s="320"/>
      <c r="E35" s="321"/>
      <c r="F35" s="321"/>
      <c r="G35" s="320"/>
      <c r="H35" s="320"/>
      <c r="I35" s="320"/>
      <c r="J35" s="320"/>
      <c r="K35" s="320"/>
      <c r="L35" s="320"/>
      <c r="M35" s="320"/>
      <c r="N35" s="322"/>
      <c r="O35" s="321"/>
      <c r="P35" s="323"/>
      <c r="Q35" s="323"/>
      <c r="R35" s="324"/>
      <c r="S35" s="319"/>
      <c r="T35" s="321"/>
    </row>
    <row r="36" spans="1:20" s="233" customFormat="1" ht="38.25" customHeight="1">
      <c r="A36" s="317"/>
      <c r="B36" s="318"/>
      <c r="C36" s="319"/>
      <c r="D36" s="320"/>
      <c r="E36" s="321"/>
      <c r="F36" s="321"/>
      <c r="G36" s="320"/>
      <c r="H36" s="320"/>
      <c r="I36" s="320"/>
      <c r="J36" s="320"/>
      <c r="K36" s="320"/>
      <c r="L36" s="320"/>
      <c r="M36" s="320"/>
      <c r="N36" s="322"/>
      <c r="O36" s="321"/>
      <c r="P36" s="323"/>
      <c r="Q36" s="323"/>
      <c r="R36" s="324"/>
      <c r="S36" s="319"/>
      <c r="T36" s="321"/>
    </row>
    <row r="37" spans="1:20" s="233" customFormat="1" ht="38.25" customHeight="1">
      <c r="A37" s="317"/>
      <c r="B37" s="318"/>
      <c r="C37" s="319"/>
      <c r="D37" s="320"/>
      <c r="E37" s="321"/>
      <c r="F37" s="321"/>
      <c r="G37" s="320"/>
      <c r="H37" s="320"/>
      <c r="I37" s="320"/>
      <c r="J37" s="320"/>
      <c r="K37" s="320"/>
      <c r="L37" s="320"/>
      <c r="M37" s="320"/>
      <c r="N37" s="322"/>
      <c r="O37" s="321"/>
      <c r="P37" s="323"/>
      <c r="Q37" s="323"/>
      <c r="R37" s="324"/>
      <c r="S37" s="319"/>
      <c r="T37" s="321"/>
    </row>
    <row r="38" spans="1:20" s="233" customFormat="1" ht="38.25" customHeight="1">
      <c r="A38" s="317"/>
      <c r="B38" s="318"/>
      <c r="C38" s="319"/>
      <c r="D38" s="320"/>
      <c r="E38" s="321"/>
      <c r="F38" s="321"/>
      <c r="G38" s="320"/>
      <c r="H38" s="320"/>
      <c r="I38" s="320"/>
      <c r="J38" s="320"/>
      <c r="K38" s="320"/>
      <c r="L38" s="320"/>
      <c r="M38" s="320"/>
      <c r="N38" s="322"/>
      <c r="O38" s="321"/>
      <c r="P38" s="323"/>
      <c r="Q38" s="323"/>
      <c r="R38" s="324"/>
      <c r="S38" s="319"/>
      <c r="T38" s="321"/>
    </row>
    <row r="39" spans="1:20" s="233" customFormat="1" ht="38.25" customHeight="1">
      <c r="A39" s="317"/>
      <c r="B39" s="318"/>
      <c r="C39" s="319"/>
      <c r="D39" s="320"/>
      <c r="E39" s="321"/>
      <c r="F39" s="321"/>
      <c r="G39" s="320"/>
      <c r="H39" s="320"/>
      <c r="I39" s="320"/>
      <c r="J39" s="320"/>
      <c r="K39" s="320"/>
      <c r="L39" s="320"/>
      <c r="M39" s="320"/>
      <c r="N39" s="322"/>
      <c r="O39" s="321"/>
      <c r="P39" s="323"/>
      <c r="Q39" s="323"/>
      <c r="R39" s="324"/>
      <c r="S39" s="319"/>
      <c r="T39" s="321"/>
    </row>
    <row r="40" spans="1:20" s="233" customFormat="1" ht="38.25" customHeight="1">
      <c r="A40" s="317"/>
      <c r="B40" s="318"/>
      <c r="C40" s="319"/>
      <c r="D40" s="320"/>
      <c r="E40" s="321"/>
      <c r="F40" s="321"/>
      <c r="G40" s="320"/>
      <c r="H40" s="320"/>
      <c r="I40" s="320"/>
      <c r="J40" s="320"/>
      <c r="K40" s="320"/>
      <c r="L40" s="320"/>
      <c r="M40" s="320"/>
      <c r="N40" s="322"/>
      <c r="O40" s="321"/>
      <c r="P40" s="323"/>
      <c r="Q40" s="323"/>
      <c r="R40" s="324"/>
      <c r="S40" s="319"/>
      <c r="T40" s="321"/>
    </row>
    <row r="41" spans="1:20" s="233" customFormat="1" ht="38.25" customHeight="1">
      <c r="A41" s="317"/>
      <c r="B41" s="318"/>
      <c r="C41" s="319"/>
      <c r="D41" s="320"/>
      <c r="E41" s="321"/>
      <c r="F41" s="321"/>
      <c r="G41" s="320"/>
      <c r="H41" s="320"/>
      <c r="I41" s="320"/>
      <c r="J41" s="320"/>
      <c r="K41" s="320"/>
      <c r="L41" s="320"/>
      <c r="M41" s="320"/>
      <c r="N41" s="322"/>
      <c r="O41" s="321"/>
      <c r="P41" s="323"/>
      <c r="Q41" s="323"/>
      <c r="R41" s="324"/>
      <c r="S41" s="319"/>
      <c r="T41" s="321"/>
    </row>
    <row r="42" spans="1:20" s="233" customFormat="1" ht="38.25" customHeight="1">
      <c r="A42" s="317"/>
      <c r="B42" s="318"/>
      <c r="C42" s="319"/>
      <c r="D42" s="320"/>
      <c r="E42" s="321"/>
      <c r="F42" s="321"/>
      <c r="G42" s="320"/>
      <c r="H42" s="320"/>
      <c r="I42" s="320"/>
      <c r="J42" s="320"/>
      <c r="K42" s="320"/>
      <c r="L42" s="320"/>
      <c r="M42" s="320"/>
      <c r="N42" s="322"/>
      <c r="O42" s="321"/>
      <c r="P42" s="323"/>
      <c r="Q42" s="323"/>
      <c r="R42" s="324"/>
      <c r="S42" s="319"/>
      <c r="T42" s="321"/>
    </row>
    <row r="43" spans="1:20" s="233" customFormat="1" ht="38.25" customHeight="1">
      <c r="A43" s="317"/>
      <c r="B43" s="318"/>
      <c r="C43" s="319"/>
      <c r="D43" s="320"/>
      <c r="E43" s="321"/>
      <c r="F43" s="321"/>
      <c r="G43" s="320"/>
      <c r="H43" s="320"/>
      <c r="I43" s="320"/>
      <c r="J43" s="320"/>
      <c r="K43" s="320"/>
      <c r="L43" s="320"/>
      <c r="M43" s="320"/>
      <c r="N43" s="322"/>
      <c r="O43" s="321"/>
      <c r="P43" s="323"/>
      <c r="Q43" s="323"/>
      <c r="R43" s="324"/>
      <c r="S43" s="319"/>
      <c r="T43" s="321"/>
    </row>
    <row r="44" spans="1:20" s="233" customFormat="1" ht="38.25" customHeight="1">
      <c r="A44" s="317"/>
      <c r="B44" s="318"/>
      <c r="C44" s="319"/>
      <c r="D44" s="320"/>
      <c r="E44" s="321"/>
      <c r="F44" s="321"/>
      <c r="G44" s="320"/>
      <c r="H44" s="320"/>
      <c r="I44" s="320"/>
      <c r="J44" s="320"/>
      <c r="K44" s="320"/>
      <c r="L44" s="320"/>
      <c r="M44" s="320"/>
      <c r="N44" s="322"/>
      <c r="O44" s="321"/>
      <c r="P44" s="323"/>
      <c r="Q44" s="323"/>
      <c r="R44" s="324"/>
      <c r="S44" s="319"/>
      <c r="T44" s="321"/>
    </row>
    <row r="45" spans="1:20" s="233" customFormat="1" ht="38.25" customHeight="1">
      <c r="A45" s="317"/>
      <c r="B45" s="318"/>
      <c r="C45" s="319"/>
      <c r="D45" s="320"/>
      <c r="E45" s="321"/>
      <c r="F45" s="321"/>
      <c r="G45" s="320"/>
      <c r="H45" s="320"/>
      <c r="I45" s="320"/>
      <c r="J45" s="320"/>
      <c r="K45" s="320"/>
      <c r="L45" s="320"/>
      <c r="M45" s="320"/>
      <c r="N45" s="322"/>
      <c r="O45" s="321"/>
      <c r="P45" s="323"/>
      <c r="Q45" s="323"/>
      <c r="R45" s="324"/>
      <c r="S45" s="319"/>
      <c r="T45" s="321"/>
    </row>
    <row r="46" spans="1:20" s="233" customFormat="1" ht="38.25" customHeight="1">
      <c r="A46" s="317"/>
      <c r="B46" s="318"/>
      <c r="C46" s="319"/>
      <c r="D46" s="320"/>
      <c r="E46" s="321"/>
      <c r="F46" s="321"/>
      <c r="G46" s="320"/>
      <c r="H46" s="320"/>
      <c r="I46" s="320"/>
      <c r="J46" s="320"/>
      <c r="K46" s="320"/>
      <c r="L46" s="320"/>
      <c r="M46" s="320"/>
      <c r="N46" s="322"/>
      <c r="O46" s="321"/>
      <c r="P46" s="323"/>
      <c r="Q46" s="323"/>
      <c r="R46" s="324"/>
      <c r="S46" s="319"/>
      <c r="T46" s="321"/>
    </row>
    <row r="47" spans="1:20" s="233" customFormat="1" ht="38.25" customHeight="1">
      <c r="A47" s="317"/>
      <c r="B47" s="318"/>
      <c r="C47" s="319"/>
      <c r="D47" s="320"/>
      <c r="E47" s="321"/>
      <c r="F47" s="321"/>
      <c r="G47" s="320"/>
      <c r="H47" s="320"/>
      <c r="I47" s="320"/>
      <c r="J47" s="320"/>
      <c r="K47" s="320"/>
      <c r="L47" s="320"/>
      <c r="M47" s="320"/>
      <c r="N47" s="322"/>
      <c r="O47" s="321"/>
      <c r="P47" s="323"/>
      <c r="Q47" s="323"/>
      <c r="R47" s="324"/>
      <c r="S47" s="319"/>
      <c r="T47" s="321"/>
    </row>
    <row r="48" spans="1:20" s="233" customFormat="1" ht="38.25" customHeight="1">
      <c r="A48" s="317"/>
      <c r="B48" s="318"/>
      <c r="C48" s="319"/>
      <c r="D48" s="320"/>
      <c r="E48" s="321"/>
      <c r="F48" s="321"/>
      <c r="G48" s="320"/>
      <c r="H48" s="320"/>
      <c r="I48" s="320"/>
      <c r="J48" s="320"/>
      <c r="K48" s="320"/>
      <c r="L48" s="320"/>
      <c r="M48" s="320"/>
      <c r="N48" s="322"/>
      <c r="O48" s="321"/>
      <c r="P48" s="323"/>
      <c r="Q48" s="323"/>
      <c r="R48" s="324"/>
      <c r="S48" s="319"/>
      <c r="T48" s="321"/>
    </row>
    <row r="49" spans="1:20" s="233" customFormat="1" ht="38.25" customHeight="1">
      <c r="A49" s="317"/>
      <c r="B49" s="318"/>
      <c r="C49" s="319"/>
      <c r="D49" s="320"/>
      <c r="E49" s="321"/>
      <c r="F49" s="321"/>
      <c r="G49" s="320"/>
      <c r="H49" s="320"/>
      <c r="I49" s="320"/>
      <c r="J49" s="320"/>
      <c r="K49" s="320"/>
      <c r="L49" s="320"/>
      <c r="M49" s="320"/>
      <c r="N49" s="322"/>
      <c r="O49" s="321"/>
      <c r="P49" s="323"/>
      <c r="Q49" s="323"/>
      <c r="R49" s="324"/>
      <c r="S49" s="319"/>
      <c r="T49" s="321"/>
    </row>
    <row r="50" spans="1:20" s="233" customFormat="1" ht="38.25" customHeight="1">
      <c r="A50" s="317"/>
      <c r="B50" s="318"/>
      <c r="C50" s="319"/>
      <c r="D50" s="320"/>
      <c r="E50" s="321"/>
      <c r="F50" s="321"/>
      <c r="G50" s="320"/>
      <c r="H50" s="320"/>
      <c r="I50" s="320"/>
      <c r="J50" s="320"/>
      <c r="K50" s="320"/>
      <c r="L50" s="320"/>
      <c r="M50" s="320"/>
      <c r="N50" s="322"/>
      <c r="O50" s="321"/>
      <c r="P50" s="323"/>
      <c r="Q50" s="323"/>
      <c r="R50" s="324"/>
      <c r="S50" s="319"/>
      <c r="T50" s="321"/>
    </row>
    <row r="51" spans="1:20" s="233" customFormat="1" ht="38.25" customHeight="1">
      <c r="A51" s="317"/>
      <c r="B51" s="318"/>
      <c r="C51" s="319"/>
      <c r="D51" s="320"/>
      <c r="E51" s="321"/>
      <c r="F51" s="321"/>
      <c r="G51" s="320"/>
      <c r="H51" s="320"/>
      <c r="I51" s="320"/>
      <c r="J51" s="320"/>
      <c r="K51" s="320"/>
      <c r="L51" s="320"/>
      <c r="M51" s="320"/>
      <c r="N51" s="322"/>
      <c r="O51" s="321"/>
      <c r="P51" s="323"/>
      <c r="Q51" s="323"/>
      <c r="R51" s="324"/>
      <c r="S51" s="319"/>
      <c r="T51" s="321"/>
    </row>
    <row r="52" spans="1:20" s="233" customFormat="1" ht="38.25" customHeight="1">
      <c r="A52" s="317"/>
      <c r="B52" s="318"/>
      <c r="C52" s="319"/>
      <c r="D52" s="320"/>
      <c r="E52" s="321"/>
      <c r="F52" s="321"/>
      <c r="G52" s="320"/>
      <c r="H52" s="320"/>
      <c r="I52" s="320"/>
      <c r="J52" s="320"/>
      <c r="K52" s="320"/>
      <c r="L52" s="320"/>
      <c r="M52" s="320"/>
      <c r="N52" s="322"/>
      <c r="O52" s="321"/>
      <c r="P52" s="323"/>
      <c r="Q52" s="323"/>
      <c r="R52" s="324"/>
      <c r="S52" s="319"/>
      <c r="T52" s="321"/>
    </row>
    <row r="53" spans="1:20" s="233" customFormat="1" ht="38.25" customHeight="1">
      <c r="A53" s="317"/>
      <c r="B53" s="318"/>
      <c r="C53" s="319"/>
      <c r="D53" s="320"/>
      <c r="E53" s="321"/>
      <c r="F53" s="321"/>
      <c r="G53" s="320"/>
      <c r="H53" s="320"/>
      <c r="I53" s="320"/>
      <c r="J53" s="320"/>
      <c r="K53" s="320"/>
      <c r="L53" s="320"/>
      <c r="M53" s="320"/>
      <c r="N53" s="322"/>
      <c r="O53" s="321"/>
      <c r="P53" s="323"/>
      <c r="Q53" s="323"/>
      <c r="R53" s="324"/>
      <c r="S53" s="319"/>
      <c r="T53" s="321"/>
    </row>
    <row r="54" spans="1:20" s="233" customFormat="1" ht="38.25" customHeight="1">
      <c r="A54" s="317"/>
      <c r="B54" s="318"/>
      <c r="C54" s="319"/>
      <c r="D54" s="320"/>
      <c r="E54" s="321"/>
      <c r="F54" s="321"/>
      <c r="G54" s="320"/>
      <c r="H54" s="320"/>
      <c r="I54" s="320"/>
      <c r="J54" s="320"/>
      <c r="K54" s="320"/>
      <c r="L54" s="320"/>
      <c r="M54" s="320"/>
      <c r="N54" s="322"/>
      <c r="O54" s="321"/>
      <c r="P54" s="323"/>
      <c r="Q54" s="323"/>
      <c r="R54" s="324"/>
      <c r="S54" s="319"/>
      <c r="T54" s="321"/>
    </row>
    <row r="55" spans="1:20" s="233" customFormat="1" ht="38.25" customHeight="1">
      <c r="A55" s="317"/>
      <c r="B55" s="318"/>
      <c r="C55" s="319"/>
      <c r="D55" s="320"/>
      <c r="E55" s="321"/>
      <c r="F55" s="321"/>
      <c r="G55" s="320"/>
      <c r="H55" s="320"/>
      <c r="I55" s="320"/>
      <c r="J55" s="320"/>
      <c r="K55" s="320"/>
      <c r="L55" s="320"/>
      <c r="M55" s="320"/>
      <c r="N55" s="322"/>
      <c r="O55" s="321"/>
      <c r="P55" s="323"/>
      <c r="Q55" s="323"/>
      <c r="R55" s="324"/>
      <c r="S55" s="319"/>
      <c r="T55" s="321"/>
    </row>
    <row r="56" spans="1:20" s="233" customFormat="1" ht="38.25" customHeight="1">
      <c r="A56" s="317"/>
      <c r="B56" s="318"/>
      <c r="C56" s="319"/>
      <c r="D56" s="320"/>
      <c r="E56" s="321"/>
      <c r="F56" s="321"/>
      <c r="G56" s="320"/>
      <c r="H56" s="320"/>
      <c r="I56" s="320"/>
      <c r="J56" s="320"/>
      <c r="K56" s="320"/>
      <c r="L56" s="320"/>
      <c r="M56" s="320"/>
      <c r="N56" s="322"/>
      <c r="O56" s="321"/>
      <c r="P56" s="323"/>
      <c r="Q56" s="323"/>
      <c r="R56" s="324"/>
      <c r="S56" s="319"/>
      <c r="T56" s="321"/>
    </row>
    <row r="57" spans="1:20" s="233" customFormat="1" ht="38.25" customHeight="1">
      <c r="A57" s="317"/>
      <c r="B57" s="318"/>
      <c r="C57" s="319"/>
      <c r="D57" s="320"/>
      <c r="E57" s="321"/>
      <c r="F57" s="321"/>
      <c r="G57" s="320"/>
      <c r="H57" s="320"/>
      <c r="I57" s="320"/>
      <c r="J57" s="320"/>
      <c r="K57" s="320"/>
      <c r="L57" s="320"/>
      <c r="M57" s="320"/>
      <c r="N57" s="322"/>
      <c r="O57" s="321"/>
      <c r="P57" s="323"/>
      <c r="Q57" s="323"/>
      <c r="R57" s="324"/>
      <c r="S57" s="319"/>
      <c r="T57" s="321"/>
    </row>
    <row r="58" spans="1:20" s="233" customFormat="1" ht="38.25" customHeight="1">
      <c r="A58" s="317"/>
      <c r="B58" s="318"/>
      <c r="C58" s="319"/>
      <c r="D58" s="320"/>
      <c r="E58" s="321"/>
      <c r="F58" s="321"/>
      <c r="G58" s="320"/>
      <c r="H58" s="320"/>
      <c r="I58" s="320"/>
      <c r="J58" s="320"/>
      <c r="K58" s="320"/>
      <c r="L58" s="320"/>
      <c r="M58" s="320"/>
      <c r="N58" s="322"/>
      <c r="O58" s="321"/>
      <c r="P58" s="323"/>
      <c r="Q58" s="323"/>
      <c r="R58" s="324"/>
      <c r="S58" s="319"/>
      <c r="T58" s="321"/>
    </row>
    <row r="59" spans="1:20" s="233" customFormat="1" ht="38.25" customHeight="1">
      <c r="A59" s="317"/>
      <c r="B59" s="318"/>
      <c r="C59" s="319"/>
      <c r="D59" s="320"/>
      <c r="E59" s="321"/>
      <c r="F59" s="321"/>
      <c r="G59" s="320"/>
      <c r="H59" s="320"/>
      <c r="I59" s="320"/>
      <c r="J59" s="320"/>
      <c r="K59" s="320"/>
      <c r="L59" s="320"/>
      <c r="M59" s="320"/>
      <c r="N59" s="322"/>
      <c r="O59" s="321"/>
      <c r="P59" s="323"/>
      <c r="Q59" s="323"/>
      <c r="R59" s="324"/>
      <c r="S59" s="319"/>
      <c r="T59" s="321"/>
    </row>
    <row r="60" spans="1:20" s="233" customFormat="1" ht="38.25" customHeight="1">
      <c r="A60" s="317"/>
      <c r="B60" s="318"/>
      <c r="C60" s="319"/>
      <c r="D60" s="320"/>
      <c r="E60" s="321"/>
      <c r="F60" s="321"/>
      <c r="G60" s="320"/>
      <c r="H60" s="320"/>
      <c r="I60" s="320"/>
      <c r="J60" s="320"/>
      <c r="K60" s="320"/>
      <c r="L60" s="320"/>
      <c r="M60" s="320"/>
      <c r="N60" s="322"/>
      <c r="O60" s="321"/>
      <c r="P60" s="323"/>
      <c r="Q60" s="323"/>
      <c r="R60" s="324"/>
      <c r="S60" s="319"/>
      <c r="T60" s="321"/>
    </row>
    <row r="61" spans="1:20" s="233" customFormat="1" ht="38.25" customHeight="1">
      <c r="A61" s="317"/>
      <c r="B61" s="318"/>
      <c r="C61" s="319"/>
      <c r="D61" s="320"/>
      <c r="E61" s="321"/>
      <c r="F61" s="321"/>
      <c r="G61" s="320"/>
      <c r="H61" s="320"/>
      <c r="I61" s="320"/>
      <c r="J61" s="320"/>
      <c r="K61" s="320"/>
      <c r="L61" s="320"/>
      <c r="M61" s="320"/>
      <c r="N61" s="322"/>
      <c r="O61" s="321"/>
      <c r="P61" s="323"/>
      <c r="Q61" s="323"/>
      <c r="R61" s="324"/>
      <c r="S61" s="319"/>
      <c r="T61" s="321"/>
    </row>
    <row r="62" spans="1:20" s="233" customFormat="1" ht="38.25" customHeight="1">
      <c r="A62" s="317"/>
      <c r="B62" s="318"/>
      <c r="C62" s="319"/>
      <c r="D62" s="320"/>
      <c r="E62" s="321"/>
      <c r="F62" s="321"/>
      <c r="G62" s="320"/>
      <c r="H62" s="320"/>
      <c r="I62" s="320"/>
      <c r="J62" s="320"/>
      <c r="K62" s="320"/>
      <c r="L62" s="320"/>
      <c r="M62" s="320"/>
      <c r="N62" s="322"/>
      <c r="O62" s="321"/>
      <c r="P62" s="323"/>
      <c r="Q62" s="323"/>
      <c r="R62" s="324"/>
      <c r="S62" s="319"/>
      <c r="T62" s="321"/>
    </row>
    <row r="63" spans="1:20" s="233" customFormat="1" ht="38.25" customHeight="1">
      <c r="A63" s="317"/>
      <c r="B63" s="318"/>
      <c r="C63" s="319"/>
      <c r="D63" s="320"/>
      <c r="E63" s="321"/>
      <c r="F63" s="321"/>
      <c r="G63" s="320"/>
      <c r="H63" s="320"/>
      <c r="I63" s="320"/>
      <c r="J63" s="320"/>
      <c r="K63" s="320"/>
      <c r="L63" s="320"/>
      <c r="M63" s="320"/>
      <c r="N63" s="322"/>
      <c r="O63" s="321"/>
      <c r="P63" s="323"/>
      <c r="Q63" s="323"/>
      <c r="R63" s="324"/>
      <c r="S63" s="319"/>
      <c r="T63" s="321"/>
    </row>
    <row r="64" spans="1:20" s="233" customFormat="1" ht="38.25" customHeight="1">
      <c r="A64" s="317"/>
      <c r="B64" s="318"/>
      <c r="C64" s="319"/>
      <c r="D64" s="320"/>
      <c r="E64" s="321"/>
      <c r="F64" s="321"/>
      <c r="G64" s="320"/>
      <c r="H64" s="320"/>
      <c r="I64" s="320"/>
      <c r="J64" s="320"/>
      <c r="K64" s="320"/>
      <c r="L64" s="320"/>
      <c r="M64" s="320"/>
      <c r="N64" s="322"/>
      <c r="O64" s="321"/>
      <c r="P64" s="323"/>
      <c r="Q64" s="323"/>
      <c r="R64" s="324"/>
      <c r="S64" s="319"/>
      <c r="T64" s="321"/>
    </row>
    <row r="65" spans="1:20" s="233" customFormat="1" ht="38.25" customHeight="1">
      <c r="A65" s="317"/>
      <c r="B65" s="318"/>
      <c r="C65" s="319"/>
      <c r="D65" s="320"/>
      <c r="E65" s="321"/>
      <c r="F65" s="321"/>
      <c r="G65" s="320"/>
      <c r="H65" s="320"/>
      <c r="I65" s="320"/>
      <c r="J65" s="320"/>
      <c r="K65" s="320"/>
      <c r="L65" s="320"/>
      <c r="M65" s="320"/>
      <c r="N65" s="322"/>
      <c r="O65" s="321"/>
      <c r="P65" s="323"/>
      <c r="Q65" s="323"/>
      <c r="R65" s="324"/>
      <c r="S65" s="319"/>
      <c r="T65" s="321"/>
    </row>
    <row r="66" spans="1:20" s="233" customFormat="1" ht="38.25" customHeight="1">
      <c r="A66" s="317"/>
      <c r="B66" s="318"/>
      <c r="C66" s="319"/>
      <c r="D66" s="320"/>
      <c r="E66" s="321"/>
      <c r="F66" s="321"/>
      <c r="G66" s="320"/>
      <c r="H66" s="320"/>
      <c r="I66" s="320"/>
      <c r="J66" s="320"/>
      <c r="K66" s="320"/>
      <c r="L66" s="320"/>
      <c r="M66" s="320"/>
      <c r="N66" s="322"/>
      <c r="O66" s="321"/>
      <c r="P66" s="323"/>
      <c r="Q66" s="323"/>
      <c r="R66" s="324"/>
      <c r="S66" s="319"/>
      <c r="T66" s="321"/>
    </row>
    <row r="67" spans="1:20" s="233" customFormat="1" ht="38.25" customHeight="1">
      <c r="A67" s="317"/>
      <c r="B67" s="318"/>
      <c r="C67" s="319"/>
      <c r="D67" s="320"/>
      <c r="E67" s="321"/>
      <c r="F67" s="321"/>
      <c r="G67" s="320"/>
      <c r="H67" s="320"/>
      <c r="I67" s="320"/>
      <c r="J67" s="320"/>
      <c r="K67" s="320"/>
      <c r="L67" s="320"/>
      <c r="M67" s="320"/>
      <c r="N67" s="322"/>
      <c r="O67" s="321"/>
      <c r="P67" s="323"/>
      <c r="Q67" s="323"/>
      <c r="R67" s="324"/>
      <c r="S67" s="319"/>
      <c r="T67" s="321"/>
    </row>
    <row r="68" spans="1:20" s="233" customFormat="1" ht="38.25" customHeight="1">
      <c r="A68" s="317"/>
      <c r="B68" s="318"/>
      <c r="C68" s="319"/>
      <c r="D68" s="320"/>
      <c r="E68" s="321"/>
      <c r="F68" s="321"/>
      <c r="G68" s="320"/>
      <c r="H68" s="320"/>
      <c r="I68" s="320"/>
      <c r="J68" s="320"/>
      <c r="K68" s="320"/>
      <c r="L68" s="320"/>
      <c r="M68" s="320"/>
      <c r="N68" s="322"/>
      <c r="O68" s="321"/>
      <c r="P68" s="323"/>
      <c r="Q68" s="323"/>
      <c r="R68" s="324"/>
      <c r="S68" s="319"/>
      <c r="T68" s="321"/>
    </row>
    <row r="69" spans="1:20" s="233" customFormat="1" ht="38.25" customHeight="1">
      <c r="A69" s="317"/>
      <c r="B69" s="318"/>
      <c r="C69" s="319"/>
      <c r="D69" s="320"/>
      <c r="E69" s="321"/>
      <c r="F69" s="321"/>
      <c r="G69" s="320"/>
      <c r="H69" s="320"/>
      <c r="I69" s="320"/>
      <c r="J69" s="320"/>
      <c r="K69" s="320"/>
      <c r="L69" s="320"/>
      <c r="M69" s="320"/>
      <c r="N69" s="322"/>
      <c r="O69" s="321"/>
      <c r="P69" s="323"/>
      <c r="Q69" s="323"/>
      <c r="R69" s="324"/>
      <c r="S69" s="319"/>
      <c r="T69" s="321"/>
    </row>
    <row r="70" spans="1:20" s="233" customFormat="1" ht="38.25" customHeight="1">
      <c r="A70" s="317"/>
      <c r="B70" s="318"/>
      <c r="C70" s="319"/>
      <c r="D70" s="320"/>
      <c r="E70" s="321"/>
      <c r="F70" s="321"/>
      <c r="G70" s="320"/>
      <c r="H70" s="320"/>
      <c r="I70" s="320"/>
      <c r="J70" s="320"/>
      <c r="K70" s="320"/>
      <c r="L70" s="320"/>
      <c r="M70" s="320"/>
      <c r="N70" s="322"/>
      <c r="O70" s="321"/>
      <c r="P70" s="323"/>
      <c r="Q70" s="323"/>
      <c r="R70" s="324"/>
      <c r="S70" s="319"/>
      <c r="T70" s="321"/>
    </row>
    <row r="71" spans="1:20" s="233" customFormat="1" ht="38.25" customHeight="1">
      <c r="A71" s="317"/>
      <c r="B71" s="318"/>
      <c r="C71" s="319"/>
      <c r="D71" s="320"/>
      <c r="E71" s="321"/>
      <c r="F71" s="321"/>
      <c r="G71" s="320"/>
      <c r="H71" s="320"/>
      <c r="I71" s="320"/>
      <c r="J71" s="320"/>
      <c r="K71" s="320"/>
      <c r="L71" s="320"/>
      <c r="M71" s="320"/>
      <c r="N71" s="322"/>
      <c r="O71" s="321"/>
      <c r="P71" s="323"/>
      <c r="Q71" s="323"/>
      <c r="R71" s="324"/>
      <c r="S71" s="319"/>
      <c r="T71" s="321"/>
    </row>
    <row r="72" spans="1:20" s="233" customFormat="1" ht="38.25" customHeight="1">
      <c r="A72" s="317"/>
      <c r="B72" s="318"/>
      <c r="C72" s="319"/>
      <c r="D72" s="320"/>
      <c r="E72" s="321"/>
      <c r="F72" s="321"/>
      <c r="G72" s="320"/>
      <c r="H72" s="320"/>
      <c r="I72" s="320"/>
      <c r="J72" s="320"/>
      <c r="K72" s="320"/>
      <c r="L72" s="320"/>
      <c r="M72" s="320"/>
      <c r="N72" s="322"/>
      <c r="O72" s="321"/>
      <c r="P72" s="323"/>
      <c r="Q72" s="323"/>
      <c r="R72" s="324"/>
      <c r="S72" s="319"/>
      <c r="T72" s="321"/>
    </row>
    <row r="73" spans="1:20" s="233" customFormat="1" ht="38.25" customHeight="1">
      <c r="A73" s="317"/>
      <c r="B73" s="318"/>
      <c r="C73" s="319"/>
      <c r="D73" s="320"/>
      <c r="E73" s="321"/>
      <c r="F73" s="321"/>
      <c r="G73" s="320"/>
      <c r="H73" s="320"/>
      <c r="I73" s="320"/>
      <c r="J73" s="320"/>
      <c r="K73" s="320"/>
      <c r="L73" s="320"/>
      <c r="M73" s="320"/>
      <c r="N73" s="322"/>
      <c r="O73" s="321"/>
      <c r="P73" s="323"/>
      <c r="Q73" s="323"/>
      <c r="R73" s="324"/>
      <c r="S73" s="319"/>
      <c r="T73" s="321"/>
    </row>
    <row r="74" spans="1:20" s="233" customFormat="1" ht="38.25" customHeight="1">
      <c r="A74" s="317"/>
      <c r="B74" s="318"/>
      <c r="C74" s="319"/>
      <c r="D74" s="320"/>
      <c r="E74" s="321"/>
      <c r="F74" s="321"/>
      <c r="G74" s="320"/>
      <c r="H74" s="320"/>
      <c r="I74" s="320"/>
      <c r="J74" s="320"/>
      <c r="K74" s="320"/>
      <c r="L74" s="320"/>
      <c r="M74" s="320"/>
      <c r="N74" s="322"/>
      <c r="O74" s="321"/>
      <c r="P74" s="323"/>
      <c r="Q74" s="323"/>
      <c r="R74" s="324"/>
      <c r="S74" s="319"/>
      <c r="T74" s="321"/>
    </row>
    <row r="75" spans="1:20" s="233" customFormat="1" ht="38.25" customHeight="1">
      <c r="A75" s="317"/>
      <c r="B75" s="318"/>
      <c r="C75" s="319"/>
      <c r="D75" s="320"/>
      <c r="E75" s="321"/>
      <c r="F75" s="321"/>
      <c r="G75" s="320"/>
      <c r="H75" s="320"/>
      <c r="I75" s="320"/>
      <c r="J75" s="320"/>
      <c r="K75" s="320"/>
      <c r="L75" s="320"/>
      <c r="M75" s="320"/>
      <c r="N75" s="322"/>
      <c r="O75" s="321"/>
      <c r="P75" s="323"/>
      <c r="Q75" s="323"/>
      <c r="R75" s="324"/>
      <c r="S75" s="319"/>
      <c r="T75" s="321"/>
    </row>
    <row r="76" spans="1:20" s="233" customFormat="1" ht="38.25" customHeight="1">
      <c r="A76" s="317"/>
      <c r="B76" s="318"/>
      <c r="C76" s="319"/>
      <c r="D76" s="320"/>
      <c r="E76" s="321"/>
      <c r="F76" s="321"/>
      <c r="G76" s="320"/>
      <c r="H76" s="320"/>
      <c r="I76" s="320"/>
      <c r="J76" s="320"/>
      <c r="K76" s="320"/>
      <c r="L76" s="320"/>
      <c r="M76" s="320"/>
      <c r="N76" s="322"/>
      <c r="O76" s="321"/>
      <c r="P76" s="323"/>
      <c r="Q76" s="323"/>
      <c r="R76" s="324"/>
      <c r="S76" s="319"/>
      <c r="T76" s="321"/>
    </row>
    <row r="77" spans="1:20" s="233" customFormat="1" ht="38.25" customHeight="1">
      <c r="A77" s="317"/>
      <c r="B77" s="318"/>
      <c r="C77" s="319"/>
      <c r="D77" s="320"/>
      <c r="E77" s="321"/>
      <c r="F77" s="321"/>
      <c r="G77" s="320"/>
      <c r="H77" s="320"/>
      <c r="I77" s="320"/>
      <c r="J77" s="320"/>
      <c r="K77" s="320"/>
      <c r="L77" s="320"/>
      <c r="M77" s="320"/>
      <c r="N77" s="322"/>
      <c r="O77" s="321"/>
      <c r="P77" s="323"/>
      <c r="Q77" s="323"/>
      <c r="R77" s="324"/>
      <c r="S77" s="319"/>
      <c r="T77" s="321"/>
    </row>
    <row r="78" spans="1:20" s="233" customFormat="1" ht="38.25" customHeight="1">
      <c r="A78" s="317"/>
      <c r="B78" s="318"/>
      <c r="C78" s="319"/>
      <c r="D78" s="320"/>
      <c r="E78" s="321"/>
      <c r="F78" s="321"/>
      <c r="G78" s="320"/>
      <c r="H78" s="320"/>
      <c r="I78" s="320"/>
      <c r="J78" s="320"/>
      <c r="K78" s="320"/>
      <c r="L78" s="320"/>
      <c r="M78" s="320"/>
      <c r="N78" s="322"/>
      <c r="O78" s="321"/>
      <c r="P78" s="323"/>
      <c r="Q78" s="323"/>
      <c r="R78" s="324"/>
      <c r="S78" s="319"/>
      <c r="T78" s="321"/>
    </row>
    <row r="79" spans="1:20" s="233" customFormat="1" ht="38.25" customHeight="1">
      <c r="A79" s="317"/>
      <c r="B79" s="318"/>
      <c r="C79" s="319"/>
      <c r="D79" s="320"/>
      <c r="E79" s="321"/>
      <c r="F79" s="321"/>
      <c r="G79" s="320"/>
      <c r="H79" s="320"/>
      <c r="I79" s="320"/>
      <c r="J79" s="320"/>
      <c r="K79" s="320"/>
      <c r="L79" s="320"/>
      <c r="M79" s="320"/>
      <c r="N79" s="322"/>
      <c r="O79" s="321"/>
      <c r="P79" s="323"/>
      <c r="Q79" s="323"/>
      <c r="R79" s="324"/>
      <c r="S79" s="319"/>
      <c r="T79" s="321"/>
    </row>
    <row r="80" spans="1:20" s="233" customFormat="1" ht="38.25" customHeight="1">
      <c r="A80" s="317"/>
      <c r="B80" s="318"/>
      <c r="C80" s="319"/>
      <c r="D80" s="320"/>
      <c r="E80" s="321"/>
      <c r="F80" s="321"/>
      <c r="G80" s="320"/>
      <c r="H80" s="320"/>
      <c r="I80" s="320"/>
      <c r="J80" s="320"/>
      <c r="K80" s="320"/>
      <c r="L80" s="320"/>
      <c r="M80" s="320"/>
      <c r="N80" s="322"/>
      <c r="O80" s="321"/>
      <c r="P80" s="323"/>
      <c r="Q80" s="323"/>
      <c r="R80" s="324"/>
      <c r="S80" s="319"/>
      <c r="T80" s="321"/>
    </row>
    <row r="81" spans="1:20" s="233" customFormat="1" ht="38.25" customHeight="1">
      <c r="A81" s="317"/>
      <c r="B81" s="318"/>
      <c r="C81" s="319"/>
      <c r="D81" s="320"/>
      <c r="E81" s="321"/>
      <c r="F81" s="321"/>
      <c r="G81" s="320"/>
      <c r="H81" s="320"/>
      <c r="I81" s="320"/>
      <c r="J81" s="320"/>
      <c r="K81" s="320"/>
      <c r="L81" s="320"/>
      <c r="M81" s="320"/>
      <c r="N81" s="322"/>
      <c r="O81" s="321"/>
      <c r="P81" s="323"/>
      <c r="Q81" s="323"/>
      <c r="R81" s="324"/>
      <c r="S81" s="319"/>
      <c r="T81" s="321"/>
    </row>
    <row r="82" spans="1:20" s="233" customFormat="1" ht="38.25" customHeight="1">
      <c r="A82" s="317"/>
      <c r="B82" s="318"/>
      <c r="C82" s="319"/>
      <c r="D82" s="320"/>
      <c r="E82" s="321"/>
      <c r="F82" s="321"/>
      <c r="G82" s="320"/>
      <c r="H82" s="320"/>
      <c r="I82" s="320"/>
      <c r="J82" s="320"/>
      <c r="K82" s="320"/>
      <c r="L82" s="320"/>
      <c r="M82" s="320"/>
      <c r="N82" s="322"/>
      <c r="O82" s="321"/>
      <c r="P82" s="323"/>
      <c r="Q82" s="323"/>
      <c r="R82" s="324"/>
      <c r="S82" s="319"/>
      <c r="T82" s="321"/>
    </row>
    <row r="83" spans="1:20" s="233" customFormat="1" ht="38.25" customHeight="1">
      <c r="A83" s="317"/>
      <c r="B83" s="318"/>
      <c r="C83" s="319"/>
      <c r="D83" s="320"/>
      <c r="E83" s="321"/>
      <c r="F83" s="321"/>
      <c r="G83" s="320"/>
      <c r="H83" s="320"/>
      <c r="I83" s="320"/>
      <c r="J83" s="320"/>
      <c r="K83" s="320"/>
      <c r="L83" s="320"/>
      <c r="M83" s="320"/>
      <c r="N83" s="322"/>
      <c r="O83" s="321"/>
      <c r="P83" s="323"/>
      <c r="Q83" s="323"/>
      <c r="R83" s="324"/>
      <c r="S83" s="319"/>
      <c r="T83" s="321"/>
    </row>
    <row r="84" spans="1:20" s="233" customFormat="1" ht="38.25" customHeight="1">
      <c r="A84" s="317"/>
      <c r="B84" s="318"/>
      <c r="C84" s="319"/>
      <c r="D84" s="320"/>
      <c r="E84" s="321"/>
      <c r="F84" s="321"/>
      <c r="G84" s="320"/>
      <c r="H84" s="320"/>
      <c r="I84" s="320"/>
      <c r="J84" s="320"/>
      <c r="K84" s="320"/>
      <c r="L84" s="320"/>
      <c r="M84" s="320"/>
      <c r="N84" s="322"/>
      <c r="O84" s="321"/>
      <c r="P84" s="323"/>
      <c r="Q84" s="323"/>
      <c r="R84" s="324"/>
      <c r="S84" s="319"/>
      <c r="T84" s="321"/>
    </row>
    <row r="85" spans="1:20" s="233" customFormat="1" ht="38.25" customHeight="1">
      <c r="A85" s="317"/>
      <c r="B85" s="318"/>
      <c r="C85" s="319"/>
      <c r="D85" s="320"/>
      <c r="E85" s="321"/>
      <c r="F85" s="321"/>
      <c r="G85" s="320"/>
      <c r="H85" s="320"/>
      <c r="I85" s="320"/>
      <c r="J85" s="320"/>
      <c r="K85" s="320"/>
      <c r="L85" s="320"/>
      <c r="M85" s="320"/>
      <c r="N85" s="322"/>
      <c r="O85" s="321"/>
      <c r="P85" s="323"/>
      <c r="Q85" s="323"/>
      <c r="R85" s="324"/>
      <c r="S85" s="319"/>
      <c r="T85" s="321"/>
    </row>
    <row r="86" spans="1:20" s="233" customFormat="1" ht="38.25" customHeight="1">
      <c r="A86" s="317"/>
      <c r="B86" s="318"/>
      <c r="C86" s="319"/>
      <c r="D86" s="320"/>
      <c r="E86" s="321"/>
      <c r="F86" s="321"/>
      <c r="G86" s="320"/>
      <c r="H86" s="320"/>
      <c r="I86" s="320"/>
      <c r="J86" s="320"/>
      <c r="K86" s="320"/>
      <c r="L86" s="320"/>
      <c r="M86" s="320"/>
      <c r="N86" s="322"/>
      <c r="O86" s="321"/>
      <c r="P86" s="323"/>
      <c r="Q86" s="323"/>
      <c r="R86" s="324"/>
      <c r="S86" s="319"/>
      <c r="T86" s="321"/>
    </row>
    <row r="87" spans="1:20" s="233" customFormat="1" ht="38.25" customHeight="1">
      <c r="A87" s="317"/>
      <c r="B87" s="318"/>
      <c r="C87" s="319"/>
      <c r="D87" s="320"/>
      <c r="E87" s="321"/>
      <c r="F87" s="321"/>
      <c r="G87" s="320"/>
      <c r="H87" s="320"/>
      <c r="I87" s="320"/>
      <c r="J87" s="320"/>
      <c r="K87" s="320"/>
      <c r="L87" s="320"/>
      <c r="M87" s="320"/>
      <c r="N87" s="322"/>
      <c r="O87" s="321"/>
      <c r="P87" s="323"/>
      <c r="Q87" s="323"/>
      <c r="R87" s="324"/>
      <c r="S87" s="319"/>
      <c r="T87" s="321"/>
    </row>
    <row r="88" spans="1:20" s="233" customFormat="1" ht="38.25" customHeight="1">
      <c r="A88" s="317"/>
      <c r="B88" s="318"/>
      <c r="C88" s="319"/>
      <c r="D88" s="320"/>
      <c r="E88" s="321"/>
      <c r="F88" s="321"/>
      <c r="G88" s="320"/>
      <c r="H88" s="320"/>
      <c r="I88" s="320"/>
      <c r="J88" s="320"/>
      <c r="K88" s="320"/>
      <c r="L88" s="320"/>
      <c r="M88" s="320"/>
      <c r="N88" s="322"/>
      <c r="O88" s="321"/>
      <c r="P88" s="323"/>
      <c r="Q88" s="323"/>
      <c r="R88" s="324"/>
      <c r="S88" s="319"/>
      <c r="T88" s="321"/>
    </row>
    <row r="89" spans="1:20" s="233" customFormat="1" ht="38.25" customHeight="1">
      <c r="A89" s="317"/>
      <c r="B89" s="318"/>
      <c r="C89" s="319"/>
      <c r="D89" s="320"/>
      <c r="E89" s="321"/>
      <c r="F89" s="321"/>
      <c r="G89" s="320"/>
      <c r="H89" s="320"/>
      <c r="I89" s="320"/>
      <c r="J89" s="320"/>
      <c r="K89" s="320"/>
      <c r="L89" s="320"/>
      <c r="M89" s="320"/>
      <c r="N89" s="322"/>
      <c r="O89" s="321"/>
      <c r="P89" s="323"/>
      <c r="Q89" s="323"/>
      <c r="R89" s="324"/>
      <c r="S89" s="319"/>
      <c r="T89" s="321"/>
    </row>
    <row r="90" spans="1:20" s="233" customFormat="1" ht="38.25" customHeight="1">
      <c r="A90" s="317"/>
      <c r="B90" s="318"/>
      <c r="C90" s="319"/>
      <c r="D90" s="320"/>
      <c r="E90" s="321"/>
      <c r="F90" s="321"/>
      <c r="G90" s="320"/>
      <c r="H90" s="320"/>
      <c r="I90" s="320"/>
      <c r="J90" s="320"/>
      <c r="K90" s="320"/>
      <c r="L90" s="320"/>
      <c r="M90" s="320"/>
      <c r="N90" s="322"/>
      <c r="O90" s="321"/>
      <c r="P90" s="323"/>
      <c r="Q90" s="323"/>
      <c r="R90" s="324"/>
      <c r="S90" s="319"/>
      <c r="T90" s="321"/>
    </row>
    <row r="91" spans="1:20" s="233" customFormat="1" ht="38.25" customHeight="1">
      <c r="A91" s="317"/>
      <c r="B91" s="318"/>
      <c r="C91" s="319"/>
      <c r="D91" s="320"/>
      <c r="E91" s="321"/>
      <c r="F91" s="321"/>
      <c r="G91" s="320"/>
      <c r="H91" s="320"/>
      <c r="I91" s="320"/>
      <c r="J91" s="320"/>
      <c r="K91" s="320"/>
      <c r="L91" s="320"/>
      <c r="M91" s="320"/>
      <c r="N91" s="322"/>
      <c r="O91" s="321"/>
      <c r="P91" s="323"/>
      <c r="Q91" s="323"/>
      <c r="R91" s="324"/>
      <c r="S91" s="319"/>
      <c r="T91" s="321"/>
    </row>
    <row r="92" spans="1:20" s="233" customFormat="1" ht="38.25" customHeight="1">
      <c r="A92" s="317"/>
      <c r="B92" s="318"/>
      <c r="C92" s="319"/>
      <c r="D92" s="320"/>
      <c r="E92" s="321"/>
      <c r="F92" s="321"/>
      <c r="G92" s="320"/>
      <c r="H92" s="320"/>
      <c r="I92" s="320"/>
      <c r="J92" s="320"/>
      <c r="K92" s="320"/>
      <c r="L92" s="320"/>
      <c r="M92" s="320"/>
      <c r="N92" s="322"/>
      <c r="O92" s="321"/>
      <c r="P92" s="323"/>
      <c r="Q92" s="323"/>
      <c r="R92" s="324"/>
      <c r="S92" s="319"/>
      <c r="T92" s="321"/>
    </row>
    <row r="93" spans="1:20" s="233" customFormat="1" ht="38.25" customHeight="1">
      <c r="A93" s="317"/>
      <c r="B93" s="318"/>
      <c r="C93" s="319"/>
      <c r="D93" s="320"/>
      <c r="E93" s="321"/>
      <c r="F93" s="321"/>
      <c r="G93" s="320"/>
      <c r="H93" s="320"/>
      <c r="I93" s="320"/>
      <c r="J93" s="320"/>
      <c r="K93" s="320"/>
      <c r="L93" s="320"/>
      <c r="M93" s="320"/>
      <c r="N93" s="322"/>
      <c r="O93" s="321"/>
      <c r="P93" s="323"/>
      <c r="Q93" s="323"/>
      <c r="R93" s="324"/>
      <c r="S93" s="319"/>
      <c r="T93" s="321"/>
    </row>
    <row r="94" spans="1:20" s="233" customFormat="1" ht="38.25" customHeight="1">
      <c r="A94" s="317"/>
      <c r="B94" s="318"/>
      <c r="C94" s="319"/>
      <c r="D94" s="320"/>
      <c r="E94" s="321"/>
      <c r="F94" s="321"/>
      <c r="G94" s="320"/>
      <c r="H94" s="320"/>
      <c r="I94" s="320"/>
      <c r="J94" s="320"/>
      <c r="K94" s="320"/>
      <c r="L94" s="320"/>
      <c r="M94" s="320"/>
      <c r="N94" s="322"/>
      <c r="O94" s="321"/>
      <c r="P94" s="323"/>
      <c r="Q94" s="323"/>
      <c r="R94" s="324"/>
      <c r="S94" s="319"/>
      <c r="T94" s="321"/>
    </row>
    <row r="95" spans="1:20" s="233" customFormat="1" ht="38.25" customHeight="1">
      <c r="A95" s="317"/>
      <c r="B95" s="318"/>
      <c r="C95" s="319"/>
      <c r="D95" s="320"/>
      <c r="E95" s="321"/>
      <c r="F95" s="321"/>
      <c r="G95" s="320"/>
      <c r="H95" s="320"/>
      <c r="I95" s="320"/>
      <c r="J95" s="320"/>
      <c r="K95" s="320"/>
      <c r="L95" s="320"/>
      <c r="M95" s="320"/>
      <c r="N95" s="322"/>
      <c r="O95" s="321"/>
      <c r="P95" s="323"/>
      <c r="Q95" s="323"/>
      <c r="R95" s="324"/>
      <c r="S95" s="319"/>
      <c r="T95" s="321"/>
    </row>
    <row r="96" spans="1:20" s="233" customFormat="1" ht="38.25" customHeight="1">
      <c r="A96" s="317"/>
      <c r="B96" s="318"/>
      <c r="C96" s="319"/>
      <c r="D96" s="320"/>
      <c r="E96" s="321"/>
      <c r="F96" s="321"/>
      <c r="G96" s="320"/>
      <c r="H96" s="320"/>
      <c r="I96" s="320"/>
      <c r="J96" s="320"/>
      <c r="K96" s="320"/>
      <c r="L96" s="320"/>
      <c r="M96" s="320"/>
      <c r="N96" s="322"/>
      <c r="O96" s="321"/>
      <c r="P96" s="323"/>
      <c r="Q96" s="323"/>
      <c r="R96" s="324"/>
      <c r="S96" s="319"/>
      <c r="T96" s="321"/>
    </row>
    <row r="97" spans="1:20" s="233" customFormat="1" ht="38.25" customHeight="1">
      <c r="A97" s="317"/>
      <c r="B97" s="318"/>
      <c r="C97" s="319"/>
      <c r="D97" s="320"/>
      <c r="E97" s="321"/>
      <c r="F97" s="321"/>
      <c r="G97" s="320"/>
      <c r="H97" s="320"/>
      <c r="I97" s="320"/>
      <c r="J97" s="320"/>
      <c r="K97" s="320"/>
      <c r="L97" s="320"/>
      <c r="M97" s="320"/>
      <c r="N97" s="322"/>
      <c r="O97" s="321"/>
      <c r="P97" s="323"/>
      <c r="Q97" s="323"/>
      <c r="R97" s="324"/>
      <c r="S97" s="319"/>
      <c r="T97" s="321"/>
    </row>
    <row r="98" spans="1:20" s="233" customFormat="1" ht="38.25" customHeight="1">
      <c r="A98" s="317"/>
      <c r="B98" s="318"/>
      <c r="C98" s="319"/>
      <c r="D98" s="320"/>
      <c r="E98" s="321"/>
      <c r="F98" s="321"/>
      <c r="G98" s="320"/>
      <c r="H98" s="320"/>
      <c r="I98" s="320"/>
      <c r="J98" s="320"/>
      <c r="K98" s="320"/>
      <c r="L98" s="320"/>
      <c r="M98" s="320"/>
      <c r="N98" s="322"/>
      <c r="O98" s="321"/>
      <c r="P98" s="323"/>
      <c r="Q98" s="323"/>
      <c r="R98" s="324"/>
      <c r="S98" s="319"/>
      <c r="T98" s="321"/>
    </row>
    <row r="99" spans="1:20" s="233" customFormat="1" ht="38.25" customHeight="1">
      <c r="A99" s="317"/>
      <c r="B99" s="318"/>
      <c r="C99" s="319"/>
      <c r="D99" s="320"/>
      <c r="E99" s="321"/>
      <c r="F99" s="321"/>
      <c r="G99" s="320"/>
      <c r="H99" s="320"/>
      <c r="I99" s="320"/>
      <c r="J99" s="320"/>
      <c r="K99" s="320"/>
      <c r="L99" s="320"/>
      <c r="M99" s="320"/>
      <c r="N99" s="322"/>
      <c r="O99" s="321"/>
      <c r="P99" s="323"/>
      <c r="Q99" s="323"/>
      <c r="R99" s="324"/>
      <c r="S99" s="319"/>
      <c r="T99" s="321"/>
    </row>
    <row r="100" spans="1:20" s="233" customFormat="1" ht="38.25" customHeight="1">
      <c r="A100" s="317"/>
      <c r="B100" s="318"/>
      <c r="C100" s="319"/>
      <c r="D100" s="320"/>
      <c r="E100" s="321"/>
      <c r="F100" s="321"/>
      <c r="G100" s="320"/>
      <c r="H100" s="320"/>
      <c r="I100" s="320"/>
      <c r="J100" s="320"/>
      <c r="K100" s="320"/>
      <c r="L100" s="320"/>
      <c r="M100" s="320"/>
      <c r="N100" s="322"/>
      <c r="O100" s="321"/>
      <c r="P100" s="323"/>
      <c r="Q100" s="323"/>
      <c r="R100" s="324"/>
      <c r="S100" s="319"/>
      <c r="T100" s="321"/>
    </row>
    <row r="101" spans="1:20" s="233" customFormat="1" ht="38.25" customHeight="1">
      <c r="A101" s="317"/>
      <c r="B101" s="318"/>
      <c r="C101" s="319"/>
      <c r="D101" s="320"/>
      <c r="E101" s="321"/>
      <c r="F101" s="321"/>
      <c r="G101" s="320"/>
      <c r="H101" s="320"/>
      <c r="I101" s="320"/>
      <c r="J101" s="320"/>
      <c r="K101" s="320"/>
      <c r="L101" s="320"/>
      <c r="M101" s="320"/>
      <c r="N101" s="322"/>
      <c r="O101" s="321"/>
      <c r="P101" s="323"/>
      <c r="Q101" s="323"/>
      <c r="R101" s="324"/>
      <c r="S101" s="319"/>
      <c r="T101" s="321"/>
    </row>
    <row r="102" spans="1:20" s="233" customFormat="1" ht="38.25" customHeight="1">
      <c r="A102" s="317"/>
      <c r="B102" s="318"/>
      <c r="C102" s="319"/>
      <c r="D102" s="320"/>
      <c r="E102" s="321"/>
      <c r="F102" s="321"/>
      <c r="G102" s="320"/>
      <c r="H102" s="320"/>
      <c r="I102" s="320"/>
      <c r="J102" s="320"/>
      <c r="K102" s="320"/>
      <c r="L102" s="320"/>
      <c r="M102" s="320"/>
      <c r="N102" s="322"/>
      <c r="O102" s="321"/>
      <c r="P102" s="323"/>
      <c r="Q102" s="323"/>
      <c r="R102" s="324"/>
      <c r="S102" s="319"/>
      <c r="T102" s="321"/>
    </row>
    <row r="103" spans="1:20" s="233" customFormat="1" ht="38.25" customHeight="1">
      <c r="A103" s="317"/>
      <c r="B103" s="318"/>
      <c r="C103" s="319"/>
      <c r="D103" s="320"/>
      <c r="E103" s="321"/>
      <c r="F103" s="321"/>
      <c r="G103" s="320"/>
      <c r="H103" s="320"/>
      <c r="I103" s="320"/>
      <c r="J103" s="320"/>
      <c r="K103" s="320"/>
      <c r="L103" s="320"/>
      <c r="M103" s="320"/>
      <c r="N103" s="322"/>
      <c r="O103" s="321"/>
      <c r="P103" s="323"/>
      <c r="Q103" s="323"/>
      <c r="R103" s="324"/>
      <c r="S103" s="319"/>
      <c r="T103" s="321"/>
    </row>
    <row r="104" spans="1:20" s="233" customFormat="1" ht="38.25" customHeight="1">
      <c r="A104" s="317"/>
      <c r="B104" s="318"/>
      <c r="C104" s="319"/>
      <c r="D104" s="320"/>
      <c r="E104" s="321"/>
      <c r="F104" s="321"/>
      <c r="G104" s="320"/>
      <c r="H104" s="320"/>
      <c r="I104" s="320"/>
      <c r="J104" s="320"/>
      <c r="K104" s="320"/>
      <c r="L104" s="320"/>
      <c r="M104" s="320"/>
      <c r="N104" s="322"/>
      <c r="O104" s="321"/>
      <c r="P104" s="323"/>
      <c r="Q104" s="323"/>
      <c r="R104" s="324"/>
      <c r="S104" s="319"/>
      <c r="T104" s="321"/>
    </row>
    <row r="105" spans="1:20" s="233" customFormat="1" ht="38.25" customHeight="1">
      <c r="A105" s="317"/>
      <c r="B105" s="318"/>
      <c r="C105" s="319"/>
      <c r="D105" s="320"/>
      <c r="E105" s="321"/>
      <c r="F105" s="321"/>
      <c r="G105" s="320"/>
      <c r="H105" s="320"/>
      <c r="I105" s="320"/>
      <c r="J105" s="320"/>
      <c r="K105" s="320"/>
      <c r="L105" s="320"/>
      <c r="M105" s="320"/>
      <c r="N105" s="322"/>
      <c r="O105" s="321"/>
      <c r="P105" s="323"/>
      <c r="Q105" s="323"/>
      <c r="R105" s="324"/>
      <c r="S105" s="319"/>
      <c r="T105" s="321"/>
    </row>
    <row r="106" spans="1:20" s="233" customFormat="1" ht="38.25" customHeight="1">
      <c r="A106" s="317"/>
      <c r="B106" s="318"/>
      <c r="C106" s="319"/>
      <c r="D106" s="320"/>
      <c r="E106" s="321"/>
      <c r="F106" s="321"/>
      <c r="G106" s="320"/>
      <c r="H106" s="320"/>
      <c r="I106" s="320"/>
      <c r="J106" s="320"/>
      <c r="K106" s="320"/>
      <c r="L106" s="320"/>
      <c r="M106" s="320"/>
      <c r="N106" s="322"/>
      <c r="O106" s="321"/>
      <c r="P106" s="323"/>
      <c r="Q106" s="323"/>
      <c r="R106" s="324"/>
      <c r="S106" s="319"/>
      <c r="T106" s="321"/>
    </row>
    <row r="107" spans="1:20" s="233" customFormat="1" ht="38.25" customHeight="1">
      <c r="A107" s="317"/>
      <c r="B107" s="318"/>
      <c r="C107" s="319"/>
      <c r="D107" s="320"/>
      <c r="E107" s="321"/>
      <c r="F107" s="321"/>
      <c r="G107" s="320"/>
      <c r="H107" s="320"/>
      <c r="I107" s="320"/>
      <c r="J107" s="320"/>
      <c r="K107" s="320"/>
      <c r="L107" s="320"/>
      <c r="M107" s="320"/>
      <c r="N107" s="322"/>
      <c r="O107" s="321"/>
      <c r="P107" s="323"/>
      <c r="Q107" s="323"/>
      <c r="R107" s="324"/>
      <c r="S107" s="319"/>
      <c r="T107" s="321"/>
    </row>
    <row r="108" spans="1:20" s="233" customFormat="1" ht="38.25" customHeight="1">
      <c r="A108" s="317"/>
      <c r="B108" s="318"/>
      <c r="C108" s="319"/>
      <c r="D108" s="320"/>
      <c r="E108" s="321"/>
      <c r="F108" s="321"/>
      <c r="G108" s="320"/>
      <c r="H108" s="320"/>
      <c r="I108" s="320"/>
      <c r="J108" s="320"/>
      <c r="K108" s="320"/>
      <c r="L108" s="320"/>
      <c r="M108" s="320"/>
      <c r="N108" s="322"/>
      <c r="O108" s="321"/>
      <c r="P108" s="323"/>
      <c r="Q108" s="323"/>
      <c r="R108" s="324"/>
      <c r="S108" s="319"/>
      <c r="T108" s="321"/>
    </row>
    <row r="109" spans="1:20" s="233" customFormat="1" ht="38.25" customHeight="1">
      <c r="A109" s="317"/>
      <c r="B109" s="318"/>
      <c r="C109" s="319"/>
      <c r="D109" s="320"/>
      <c r="E109" s="321"/>
      <c r="F109" s="321"/>
      <c r="G109" s="320"/>
      <c r="H109" s="320"/>
      <c r="I109" s="320"/>
      <c r="J109" s="320"/>
      <c r="K109" s="320"/>
      <c r="L109" s="320"/>
      <c r="M109" s="320"/>
      <c r="N109" s="322"/>
      <c r="O109" s="321"/>
      <c r="P109" s="323"/>
      <c r="Q109" s="323"/>
      <c r="R109" s="324"/>
      <c r="S109" s="319"/>
      <c r="T109" s="321"/>
    </row>
    <row r="110" spans="1:20" s="233" customFormat="1" ht="38.25" customHeight="1">
      <c r="A110" s="317"/>
      <c r="B110" s="318"/>
      <c r="C110" s="319"/>
      <c r="D110" s="320"/>
      <c r="E110" s="321"/>
      <c r="F110" s="321"/>
      <c r="G110" s="320"/>
      <c r="H110" s="320"/>
      <c r="I110" s="320"/>
      <c r="J110" s="320"/>
      <c r="K110" s="320"/>
      <c r="L110" s="320"/>
      <c r="M110" s="320"/>
      <c r="N110" s="322"/>
      <c r="O110" s="321"/>
      <c r="P110" s="323"/>
      <c r="Q110" s="323"/>
      <c r="R110" s="324"/>
      <c r="S110" s="319"/>
      <c r="T110" s="321"/>
    </row>
    <row r="111" spans="1:20" s="233" customFormat="1" ht="38.25" customHeight="1">
      <c r="A111" s="317"/>
      <c r="B111" s="318"/>
      <c r="C111" s="319"/>
      <c r="D111" s="320"/>
      <c r="E111" s="321"/>
      <c r="F111" s="321"/>
      <c r="G111" s="320"/>
      <c r="H111" s="320"/>
      <c r="I111" s="320"/>
      <c r="J111" s="320"/>
      <c r="K111" s="320"/>
      <c r="L111" s="320"/>
      <c r="M111" s="320"/>
      <c r="N111" s="322"/>
      <c r="O111" s="321"/>
      <c r="P111" s="323"/>
      <c r="Q111" s="323"/>
      <c r="R111" s="324"/>
      <c r="S111" s="319"/>
      <c r="T111" s="321"/>
    </row>
    <row r="112" spans="1:20" s="233" customFormat="1" ht="38.25" customHeight="1">
      <c r="A112" s="317"/>
      <c r="B112" s="318"/>
      <c r="C112" s="319"/>
      <c r="D112" s="320"/>
      <c r="E112" s="321"/>
      <c r="F112" s="321"/>
      <c r="G112" s="320"/>
      <c r="H112" s="320"/>
      <c r="I112" s="320"/>
      <c r="J112" s="320"/>
      <c r="K112" s="320"/>
      <c r="L112" s="320"/>
      <c r="M112" s="320"/>
      <c r="N112" s="322"/>
      <c r="O112" s="321"/>
      <c r="P112" s="323"/>
      <c r="Q112" s="323"/>
      <c r="R112" s="324"/>
      <c r="S112" s="319"/>
      <c r="T112" s="321"/>
    </row>
    <row r="113" spans="1:20" s="233" customFormat="1" ht="38.25" customHeight="1">
      <c r="A113" s="317"/>
      <c r="B113" s="318"/>
      <c r="C113" s="319"/>
      <c r="D113" s="320"/>
      <c r="E113" s="321"/>
      <c r="F113" s="321"/>
      <c r="G113" s="320"/>
      <c r="H113" s="320"/>
      <c r="I113" s="320"/>
      <c r="J113" s="320"/>
      <c r="K113" s="320"/>
      <c r="L113" s="320"/>
      <c r="M113" s="320"/>
      <c r="N113" s="322"/>
      <c r="O113" s="321"/>
      <c r="P113" s="323"/>
      <c r="Q113" s="323"/>
      <c r="R113" s="324"/>
      <c r="S113" s="319"/>
      <c r="T113" s="321"/>
    </row>
    <row r="114" spans="1:20" s="233" customFormat="1" ht="38.25" customHeight="1">
      <c r="A114" s="317"/>
      <c r="B114" s="318"/>
      <c r="C114" s="319"/>
      <c r="D114" s="320"/>
      <c r="E114" s="321"/>
      <c r="F114" s="321"/>
      <c r="G114" s="320"/>
      <c r="H114" s="320"/>
      <c r="I114" s="320"/>
      <c r="J114" s="320"/>
      <c r="K114" s="320"/>
      <c r="L114" s="320"/>
      <c r="M114" s="320"/>
      <c r="N114" s="322"/>
      <c r="O114" s="321"/>
      <c r="P114" s="323"/>
      <c r="Q114" s="323"/>
      <c r="R114" s="324"/>
      <c r="S114" s="319"/>
      <c r="T114" s="321"/>
    </row>
    <row r="115" spans="1:20" s="233" customFormat="1" ht="38.25" customHeight="1">
      <c r="A115" s="317"/>
      <c r="B115" s="318"/>
      <c r="C115" s="319"/>
      <c r="D115" s="320"/>
      <c r="E115" s="321"/>
      <c r="F115" s="321"/>
      <c r="G115" s="320"/>
      <c r="H115" s="320"/>
      <c r="I115" s="320"/>
      <c r="J115" s="320"/>
      <c r="K115" s="320"/>
      <c r="L115" s="320"/>
      <c r="M115" s="320"/>
      <c r="N115" s="322"/>
      <c r="O115" s="321"/>
      <c r="P115" s="323"/>
      <c r="Q115" s="323"/>
      <c r="R115" s="324"/>
      <c r="S115" s="319"/>
      <c r="T115" s="321"/>
    </row>
    <row r="116" spans="1:20" s="233" customFormat="1" ht="38.25" customHeight="1">
      <c r="A116" s="317"/>
      <c r="B116" s="318"/>
      <c r="C116" s="319"/>
      <c r="D116" s="320"/>
      <c r="E116" s="321"/>
      <c r="F116" s="321"/>
      <c r="G116" s="320"/>
      <c r="H116" s="320"/>
      <c r="I116" s="320"/>
      <c r="J116" s="320"/>
      <c r="K116" s="320"/>
      <c r="L116" s="320"/>
      <c r="M116" s="320"/>
      <c r="N116" s="322"/>
      <c r="O116" s="321"/>
      <c r="P116" s="323"/>
      <c r="Q116" s="323"/>
      <c r="R116" s="324"/>
      <c r="S116" s="319"/>
      <c r="T116" s="321"/>
    </row>
    <row r="117" spans="1:20" s="233" customFormat="1" ht="38.25" customHeight="1">
      <c r="A117" s="317"/>
      <c r="B117" s="318"/>
      <c r="C117" s="319"/>
      <c r="D117" s="320"/>
      <c r="E117" s="321"/>
      <c r="F117" s="321"/>
      <c r="G117" s="320"/>
      <c r="H117" s="320"/>
      <c r="I117" s="320"/>
      <c r="J117" s="320"/>
      <c r="K117" s="320"/>
      <c r="L117" s="320"/>
      <c r="M117" s="320"/>
      <c r="N117" s="322"/>
      <c r="O117" s="321"/>
      <c r="P117" s="323"/>
      <c r="Q117" s="323"/>
      <c r="R117" s="324"/>
      <c r="S117" s="319"/>
      <c r="T117" s="321"/>
    </row>
    <row r="118" spans="1:20" s="233" customFormat="1" ht="38.25" customHeight="1">
      <c r="A118" s="317"/>
      <c r="B118" s="318"/>
      <c r="C118" s="319"/>
      <c r="D118" s="320"/>
      <c r="E118" s="321"/>
      <c r="F118" s="321"/>
      <c r="G118" s="320"/>
      <c r="H118" s="320"/>
      <c r="I118" s="320"/>
      <c r="J118" s="320"/>
      <c r="K118" s="320"/>
      <c r="L118" s="320"/>
      <c r="M118" s="320"/>
      <c r="N118" s="322"/>
      <c r="O118" s="321"/>
      <c r="P118" s="323"/>
      <c r="Q118" s="323"/>
      <c r="R118" s="324"/>
      <c r="S118" s="319"/>
      <c r="T118" s="321"/>
    </row>
    <row r="119" spans="1:20" s="233" customFormat="1" ht="38.25" customHeight="1">
      <c r="A119" s="317"/>
      <c r="B119" s="318"/>
      <c r="C119" s="319"/>
      <c r="D119" s="320"/>
      <c r="E119" s="321"/>
      <c r="F119" s="321"/>
      <c r="G119" s="320"/>
      <c r="H119" s="320"/>
      <c r="I119" s="320"/>
      <c r="J119" s="320"/>
      <c r="K119" s="320"/>
      <c r="L119" s="320"/>
      <c r="M119" s="320"/>
      <c r="N119" s="322"/>
      <c r="O119" s="321"/>
      <c r="P119" s="323"/>
      <c r="Q119" s="323"/>
      <c r="R119" s="324"/>
      <c r="S119" s="319"/>
      <c r="T119" s="321"/>
    </row>
    <row r="120" spans="1:20" s="233" customFormat="1" ht="38.25" customHeight="1">
      <c r="A120" s="317"/>
      <c r="B120" s="318"/>
      <c r="C120" s="319"/>
      <c r="D120" s="320"/>
      <c r="E120" s="321"/>
      <c r="F120" s="321"/>
      <c r="G120" s="320"/>
      <c r="H120" s="320"/>
      <c r="I120" s="320"/>
      <c r="J120" s="320"/>
      <c r="K120" s="320"/>
      <c r="L120" s="320"/>
      <c r="M120" s="320"/>
      <c r="N120" s="322"/>
      <c r="O120" s="321"/>
      <c r="P120" s="323"/>
      <c r="Q120" s="323"/>
      <c r="R120" s="324"/>
      <c r="S120" s="319"/>
      <c r="T120" s="321"/>
    </row>
    <row r="121" spans="1:20" s="233" customFormat="1" ht="38.25" customHeight="1">
      <c r="A121" s="317"/>
      <c r="B121" s="318"/>
      <c r="C121" s="319"/>
      <c r="D121" s="320"/>
      <c r="E121" s="321"/>
      <c r="F121" s="321"/>
      <c r="G121" s="320"/>
      <c r="H121" s="320"/>
      <c r="I121" s="320"/>
      <c r="J121" s="320"/>
      <c r="K121" s="320"/>
      <c r="L121" s="320"/>
      <c r="M121" s="320"/>
      <c r="N121" s="322"/>
      <c r="O121" s="321"/>
      <c r="P121" s="323"/>
      <c r="Q121" s="323"/>
      <c r="R121" s="324"/>
      <c r="S121" s="319"/>
      <c r="T121" s="321"/>
    </row>
    <row r="122" spans="1:20" s="233" customFormat="1" ht="38.25" customHeight="1">
      <c r="A122" s="317"/>
      <c r="B122" s="318"/>
      <c r="C122" s="319"/>
      <c r="D122" s="320"/>
      <c r="E122" s="321"/>
      <c r="F122" s="321"/>
      <c r="G122" s="320"/>
      <c r="H122" s="320"/>
      <c r="I122" s="320"/>
      <c r="J122" s="320"/>
      <c r="K122" s="320"/>
      <c r="L122" s="320"/>
      <c r="M122" s="320"/>
      <c r="N122" s="322"/>
      <c r="O122" s="321"/>
      <c r="P122" s="323"/>
      <c r="Q122" s="323"/>
      <c r="R122" s="324"/>
      <c r="S122" s="319"/>
      <c r="T122" s="321"/>
    </row>
    <row r="123" spans="1:20" s="233" customFormat="1" ht="38.25" customHeight="1">
      <c r="A123" s="317"/>
      <c r="B123" s="318"/>
      <c r="C123" s="319"/>
      <c r="D123" s="320"/>
      <c r="E123" s="321"/>
      <c r="F123" s="321"/>
      <c r="G123" s="320"/>
      <c r="H123" s="320"/>
      <c r="I123" s="320"/>
      <c r="J123" s="320"/>
      <c r="K123" s="320"/>
      <c r="L123" s="320"/>
      <c r="M123" s="320"/>
      <c r="N123" s="322"/>
      <c r="O123" s="321"/>
      <c r="P123" s="323"/>
      <c r="Q123" s="323"/>
      <c r="R123" s="324"/>
      <c r="S123" s="319"/>
      <c r="T123" s="321"/>
    </row>
    <row r="124" spans="1:20" s="233" customFormat="1" ht="38.25" customHeight="1">
      <c r="A124" s="317"/>
      <c r="B124" s="318"/>
      <c r="C124" s="319"/>
      <c r="D124" s="320"/>
      <c r="E124" s="321"/>
      <c r="F124" s="321"/>
      <c r="G124" s="320"/>
      <c r="H124" s="320"/>
      <c r="I124" s="320"/>
      <c r="J124" s="320"/>
      <c r="K124" s="320"/>
      <c r="L124" s="320"/>
      <c r="M124" s="320"/>
      <c r="N124" s="322"/>
      <c r="O124" s="321"/>
      <c r="P124" s="323"/>
      <c r="Q124" s="323"/>
      <c r="R124" s="324"/>
      <c r="S124" s="319"/>
      <c r="T124" s="321"/>
    </row>
    <row r="125" spans="1:20" s="233" customFormat="1" ht="38.25" customHeight="1">
      <c r="A125" s="317"/>
      <c r="B125" s="318"/>
      <c r="C125" s="319"/>
      <c r="D125" s="320"/>
      <c r="E125" s="321"/>
      <c r="F125" s="321"/>
      <c r="G125" s="320"/>
      <c r="H125" s="320"/>
      <c r="I125" s="320"/>
      <c r="J125" s="320"/>
      <c r="K125" s="320"/>
      <c r="L125" s="320"/>
      <c r="M125" s="320"/>
      <c r="N125" s="322"/>
      <c r="O125" s="321"/>
      <c r="P125" s="323"/>
      <c r="Q125" s="323"/>
      <c r="R125" s="324"/>
      <c r="S125" s="319"/>
      <c r="T125" s="321"/>
    </row>
    <row r="126" spans="1:20" s="233" customFormat="1" ht="38.25" customHeight="1">
      <c r="A126" s="317"/>
      <c r="B126" s="318"/>
      <c r="C126" s="319"/>
      <c r="D126" s="320"/>
      <c r="E126" s="321"/>
      <c r="F126" s="321"/>
      <c r="G126" s="320"/>
      <c r="H126" s="320"/>
      <c r="I126" s="320"/>
      <c r="J126" s="320"/>
      <c r="K126" s="320"/>
      <c r="L126" s="320"/>
      <c r="M126" s="320"/>
      <c r="N126" s="322"/>
      <c r="O126" s="321"/>
      <c r="P126" s="323"/>
      <c r="Q126" s="323"/>
      <c r="R126" s="324"/>
      <c r="S126" s="319"/>
      <c r="T126" s="321"/>
    </row>
    <row r="127" spans="1:20" s="233" customFormat="1" ht="38.25" customHeight="1">
      <c r="A127" s="317"/>
      <c r="B127" s="318"/>
      <c r="C127" s="319"/>
      <c r="D127" s="320"/>
      <c r="E127" s="321"/>
      <c r="F127" s="321"/>
      <c r="G127" s="320"/>
      <c r="H127" s="320"/>
      <c r="I127" s="320"/>
      <c r="J127" s="320"/>
      <c r="K127" s="320"/>
      <c r="L127" s="320"/>
      <c r="M127" s="320"/>
      <c r="N127" s="322"/>
      <c r="O127" s="321"/>
      <c r="P127" s="323"/>
      <c r="Q127" s="323"/>
      <c r="R127" s="324"/>
      <c r="S127" s="319"/>
      <c r="T127" s="321"/>
    </row>
    <row r="128" spans="1:20" s="233" customFormat="1" ht="38.25" customHeight="1">
      <c r="A128" s="317"/>
      <c r="B128" s="318"/>
      <c r="C128" s="319"/>
      <c r="D128" s="320"/>
      <c r="E128" s="321"/>
      <c r="F128" s="321"/>
      <c r="G128" s="320"/>
      <c r="H128" s="320"/>
      <c r="I128" s="320"/>
      <c r="J128" s="320"/>
      <c r="K128" s="320"/>
      <c r="L128" s="320"/>
      <c r="M128" s="320"/>
      <c r="N128" s="322"/>
      <c r="O128" s="321"/>
      <c r="P128" s="323"/>
      <c r="Q128" s="323"/>
      <c r="R128" s="324"/>
      <c r="S128" s="319"/>
      <c r="T128" s="321"/>
    </row>
    <row r="129" spans="1:20" s="233" customFormat="1" ht="38.25" customHeight="1">
      <c r="A129" s="317"/>
      <c r="B129" s="318"/>
      <c r="C129" s="319"/>
      <c r="D129" s="320"/>
      <c r="E129" s="321"/>
      <c r="F129" s="321"/>
      <c r="G129" s="320"/>
      <c r="H129" s="320"/>
      <c r="I129" s="320"/>
      <c r="J129" s="320"/>
      <c r="K129" s="320"/>
      <c r="L129" s="320"/>
      <c r="M129" s="320"/>
      <c r="N129" s="322"/>
      <c r="O129" s="321"/>
      <c r="P129" s="323"/>
      <c r="Q129" s="323"/>
      <c r="R129" s="324"/>
      <c r="S129" s="319"/>
      <c r="T129" s="321"/>
    </row>
    <row r="130" spans="1:20" s="233" customFormat="1" ht="38.25" customHeight="1">
      <c r="A130" s="317"/>
      <c r="B130" s="318"/>
      <c r="C130" s="319"/>
      <c r="D130" s="320"/>
      <c r="E130" s="321"/>
      <c r="F130" s="321"/>
      <c r="G130" s="320"/>
      <c r="H130" s="320"/>
      <c r="I130" s="320"/>
      <c r="J130" s="320"/>
      <c r="K130" s="320"/>
      <c r="L130" s="320"/>
      <c r="M130" s="320"/>
      <c r="N130" s="322"/>
      <c r="O130" s="321"/>
      <c r="P130" s="323"/>
      <c r="Q130" s="323"/>
      <c r="R130" s="324"/>
      <c r="S130" s="319"/>
      <c r="T130" s="321"/>
    </row>
    <row r="131" spans="1:20" s="233" customFormat="1" ht="38.25" customHeight="1">
      <c r="A131" s="317"/>
      <c r="B131" s="318"/>
      <c r="C131" s="319"/>
      <c r="D131" s="320"/>
      <c r="E131" s="321"/>
      <c r="F131" s="321"/>
      <c r="G131" s="320"/>
      <c r="H131" s="320"/>
      <c r="I131" s="320"/>
      <c r="J131" s="320"/>
      <c r="K131" s="320"/>
      <c r="L131" s="320"/>
      <c r="M131" s="320"/>
      <c r="N131" s="322"/>
      <c r="O131" s="321"/>
      <c r="P131" s="323"/>
      <c r="Q131" s="323"/>
      <c r="R131" s="324"/>
      <c r="S131" s="319"/>
      <c r="T131" s="321"/>
    </row>
    <row r="132" spans="1:20" s="233" customFormat="1" ht="38.25" customHeight="1">
      <c r="A132" s="317"/>
      <c r="B132" s="318"/>
      <c r="C132" s="319"/>
      <c r="D132" s="320"/>
      <c r="E132" s="321"/>
      <c r="F132" s="321"/>
      <c r="G132" s="320"/>
      <c r="H132" s="320"/>
      <c r="I132" s="320"/>
      <c r="J132" s="320"/>
      <c r="K132" s="320"/>
      <c r="L132" s="320"/>
      <c r="M132" s="320"/>
      <c r="N132" s="322"/>
      <c r="O132" s="321"/>
      <c r="P132" s="323"/>
      <c r="Q132" s="323"/>
      <c r="R132" s="324"/>
      <c r="S132" s="319"/>
      <c r="T132" s="321"/>
    </row>
    <row r="133" spans="1:20" s="233" customFormat="1" ht="38.25" customHeight="1">
      <c r="A133" s="317"/>
      <c r="B133" s="318"/>
      <c r="C133" s="319"/>
      <c r="D133" s="320"/>
      <c r="E133" s="321"/>
      <c r="F133" s="321"/>
      <c r="G133" s="320"/>
      <c r="H133" s="320"/>
      <c r="I133" s="320"/>
      <c r="J133" s="320"/>
      <c r="K133" s="320"/>
      <c r="L133" s="320"/>
      <c r="M133" s="320"/>
      <c r="N133" s="322"/>
      <c r="O133" s="321"/>
      <c r="P133" s="323"/>
      <c r="Q133" s="323"/>
      <c r="R133" s="324"/>
      <c r="S133" s="319"/>
      <c r="T133" s="321"/>
    </row>
    <row r="134" spans="1:20" s="233" customFormat="1" ht="38.25" customHeight="1">
      <c r="A134" s="317"/>
      <c r="B134" s="318"/>
      <c r="C134" s="319"/>
      <c r="D134" s="320"/>
      <c r="E134" s="321"/>
      <c r="F134" s="321"/>
      <c r="G134" s="320"/>
      <c r="H134" s="320"/>
      <c r="I134" s="320"/>
      <c r="J134" s="320"/>
      <c r="K134" s="320"/>
      <c r="L134" s="320"/>
      <c r="M134" s="320"/>
      <c r="N134" s="322"/>
      <c r="O134" s="321"/>
      <c r="P134" s="323"/>
      <c r="Q134" s="323"/>
      <c r="R134" s="324"/>
      <c r="S134" s="319"/>
      <c r="T134" s="321"/>
    </row>
    <row r="135" spans="1:20" s="233" customFormat="1" ht="38.25" customHeight="1">
      <c r="A135" s="317"/>
      <c r="B135" s="318"/>
      <c r="C135" s="319"/>
      <c r="D135" s="320"/>
      <c r="E135" s="321"/>
      <c r="F135" s="321"/>
      <c r="G135" s="320"/>
      <c r="H135" s="320"/>
      <c r="I135" s="320"/>
      <c r="J135" s="320"/>
      <c r="K135" s="320"/>
      <c r="L135" s="320"/>
      <c r="M135" s="320"/>
      <c r="N135" s="322"/>
      <c r="O135" s="321"/>
      <c r="P135" s="323"/>
      <c r="Q135" s="323"/>
      <c r="R135" s="324"/>
      <c r="S135" s="319"/>
      <c r="T135" s="321"/>
    </row>
    <row r="136" spans="1:20" s="233" customFormat="1" ht="38.25" customHeight="1">
      <c r="A136" s="317"/>
      <c r="B136" s="318"/>
      <c r="C136" s="319"/>
      <c r="D136" s="320"/>
      <c r="E136" s="321"/>
      <c r="F136" s="321"/>
      <c r="G136" s="320"/>
      <c r="H136" s="320"/>
      <c r="I136" s="320"/>
      <c r="J136" s="320"/>
      <c r="K136" s="320"/>
      <c r="L136" s="320"/>
      <c r="M136" s="320"/>
      <c r="N136" s="322"/>
      <c r="O136" s="321"/>
      <c r="P136" s="323"/>
      <c r="Q136" s="323"/>
      <c r="R136" s="324"/>
      <c r="S136" s="319"/>
      <c r="T136" s="321"/>
    </row>
    <row r="137" spans="1:20" s="233" customFormat="1" ht="38.25" customHeight="1">
      <c r="A137" s="317"/>
      <c r="B137" s="318"/>
      <c r="C137" s="319"/>
      <c r="D137" s="320"/>
      <c r="E137" s="321"/>
      <c r="F137" s="321"/>
      <c r="G137" s="320"/>
      <c r="H137" s="320"/>
      <c r="I137" s="320"/>
      <c r="J137" s="320"/>
      <c r="K137" s="320"/>
      <c r="L137" s="320"/>
      <c r="M137" s="320"/>
      <c r="N137" s="322"/>
      <c r="O137" s="321"/>
      <c r="P137" s="323"/>
      <c r="Q137" s="323"/>
      <c r="R137" s="324"/>
      <c r="S137" s="319"/>
      <c r="T137" s="321"/>
    </row>
    <row r="138" spans="1:20" s="233" customFormat="1" ht="38.25" customHeight="1">
      <c r="A138" s="317"/>
      <c r="B138" s="318"/>
      <c r="C138" s="319"/>
      <c r="D138" s="320"/>
      <c r="E138" s="321"/>
      <c r="F138" s="321"/>
      <c r="G138" s="320"/>
      <c r="H138" s="320"/>
      <c r="I138" s="320"/>
      <c r="J138" s="320"/>
      <c r="K138" s="320"/>
      <c r="L138" s="320"/>
      <c r="M138" s="320"/>
      <c r="N138" s="322"/>
      <c r="O138" s="321"/>
      <c r="P138" s="323"/>
      <c r="Q138" s="323"/>
      <c r="R138" s="324"/>
      <c r="S138" s="319"/>
      <c r="T138" s="321"/>
    </row>
    <row r="139" spans="1:20" s="233" customFormat="1" ht="38.25" customHeight="1">
      <c r="A139" s="317"/>
      <c r="B139" s="318"/>
      <c r="C139" s="319"/>
      <c r="D139" s="320"/>
      <c r="E139" s="321"/>
      <c r="F139" s="321"/>
      <c r="G139" s="320"/>
      <c r="H139" s="320"/>
      <c r="I139" s="320"/>
      <c r="J139" s="320"/>
      <c r="K139" s="320"/>
      <c r="L139" s="320"/>
      <c r="M139" s="320"/>
      <c r="N139" s="322"/>
      <c r="O139" s="321"/>
      <c r="P139" s="323"/>
      <c r="Q139" s="323"/>
      <c r="R139" s="324"/>
      <c r="S139" s="319"/>
      <c r="T139" s="321"/>
    </row>
    <row r="140" spans="1:20" s="233" customFormat="1" ht="38.25" customHeight="1">
      <c r="A140" s="317"/>
      <c r="B140" s="318"/>
      <c r="C140" s="319"/>
      <c r="D140" s="320"/>
      <c r="E140" s="321"/>
      <c r="F140" s="321"/>
      <c r="G140" s="320"/>
      <c r="H140" s="320"/>
      <c r="I140" s="320"/>
      <c r="J140" s="320"/>
      <c r="K140" s="320"/>
      <c r="L140" s="320"/>
      <c r="M140" s="320"/>
      <c r="N140" s="322"/>
      <c r="O140" s="321"/>
      <c r="P140" s="323"/>
      <c r="Q140" s="323"/>
      <c r="R140" s="324"/>
      <c r="S140" s="319"/>
      <c r="T140" s="321"/>
    </row>
    <row r="141" spans="1:20" s="233" customFormat="1" ht="38.25" customHeight="1">
      <c r="A141" s="317"/>
      <c r="B141" s="318"/>
      <c r="C141" s="319"/>
      <c r="D141" s="320"/>
      <c r="E141" s="321"/>
      <c r="F141" s="321"/>
      <c r="G141" s="320"/>
      <c r="H141" s="320"/>
      <c r="I141" s="320"/>
      <c r="J141" s="320"/>
      <c r="K141" s="320"/>
      <c r="L141" s="320"/>
      <c r="M141" s="320"/>
      <c r="N141" s="322"/>
      <c r="O141" s="321"/>
      <c r="P141" s="323"/>
      <c r="Q141" s="323"/>
      <c r="R141" s="324"/>
      <c r="S141" s="319"/>
      <c r="T141" s="321"/>
    </row>
    <row r="142" spans="1:20" s="233" customFormat="1" ht="38.25" customHeight="1">
      <c r="A142" s="317"/>
      <c r="B142" s="318"/>
      <c r="C142" s="319"/>
      <c r="D142" s="320"/>
      <c r="E142" s="321"/>
      <c r="F142" s="321"/>
      <c r="G142" s="320"/>
      <c r="H142" s="320"/>
      <c r="I142" s="320"/>
      <c r="J142" s="320"/>
      <c r="K142" s="320"/>
      <c r="L142" s="320"/>
      <c r="M142" s="320"/>
      <c r="N142" s="322"/>
      <c r="O142" s="321"/>
      <c r="P142" s="323"/>
      <c r="Q142" s="323"/>
      <c r="R142" s="324"/>
      <c r="S142" s="319"/>
      <c r="T142" s="321"/>
    </row>
    <row r="143" spans="1:20" s="233" customFormat="1" ht="38.25" customHeight="1">
      <c r="A143" s="317"/>
      <c r="B143" s="318"/>
      <c r="C143" s="319"/>
      <c r="D143" s="320"/>
      <c r="E143" s="321"/>
      <c r="F143" s="321"/>
      <c r="G143" s="320"/>
      <c r="H143" s="320"/>
      <c r="I143" s="320"/>
      <c r="J143" s="320"/>
      <c r="K143" s="320"/>
      <c r="L143" s="320"/>
      <c r="M143" s="320"/>
      <c r="N143" s="322"/>
      <c r="O143" s="321"/>
      <c r="P143" s="323"/>
      <c r="Q143" s="323"/>
      <c r="R143" s="324"/>
      <c r="S143" s="319"/>
      <c r="T143" s="321"/>
    </row>
    <row r="144" spans="1:20" s="233" customFormat="1" ht="38.25" customHeight="1">
      <c r="A144" s="317"/>
      <c r="B144" s="318"/>
      <c r="C144" s="319"/>
      <c r="D144" s="320"/>
      <c r="E144" s="321"/>
      <c r="F144" s="321"/>
      <c r="G144" s="320"/>
      <c r="H144" s="320"/>
      <c r="I144" s="320"/>
      <c r="J144" s="320"/>
      <c r="K144" s="320"/>
      <c r="L144" s="320"/>
      <c r="M144" s="320"/>
      <c r="N144" s="322"/>
      <c r="O144" s="321"/>
      <c r="P144" s="323"/>
      <c r="Q144" s="323"/>
      <c r="R144" s="324"/>
      <c r="S144" s="319"/>
      <c r="T144" s="321"/>
    </row>
    <row r="145" spans="1:20" s="233" customFormat="1" ht="38.25" customHeight="1">
      <c r="A145" s="317"/>
      <c r="B145" s="318"/>
      <c r="C145" s="319"/>
      <c r="D145" s="320"/>
      <c r="E145" s="321"/>
      <c r="F145" s="321"/>
      <c r="G145" s="320"/>
      <c r="H145" s="320"/>
      <c r="I145" s="320"/>
      <c r="J145" s="320"/>
      <c r="K145" s="320"/>
      <c r="L145" s="320"/>
      <c r="M145" s="320"/>
      <c r="N145" s="322"/>
      <c r="O145" s="321"/>
      <c r="P145" s="323"/>
      <c r="Q145" s="323"/>
      <c r="R145" s="324"/>
      <c r="S145" s="319"/>
      <c r="T145" s="321"/>
    </row>
    <row r="146" spans="1:20" s="233" customFormat="1" ht="38.25" customHeight="1">
      <c r="A146" s="317"/>
      <c r="B146" s="318"/>
      <c r="C146" s="319"/>
      <c r="D146" s="320"/>
      <c r="E146" s="321"/>
      <c r="F146" s="321"/>
      <c r="G146" s="320"/>
      <c r="H146" s="320"/>
      <c r="I146" s="320"/>
      <c r="J146" s="320"/>
      <c r="K146" s="320"/>
      <c r="L146" s="320"/>
      <c r="M146" s="320"/>
      <c r="N146" s="322"/>
      <c r="O146" s="321"/>
      <c r="P146" s="323"/>
      <c r="Q146" s="323"/>
      <c r="R146" s="324"/>
      <c r="S146" s="319"/>
      <c r="T146" s="321"/>
    </row>
    <row r="147" spans="1:20" s="233" customFormat="1" ht="38.25" customHeight="1">
      <c r="A147" s="317"/>
      <c r="B147" s="318"/>
      <c r="C147" s="319"/>
      <c r="D147" s="320"/>
      <c r="E147" s="321"/>
      <c r="F147" s="321"/>
      <c r="G147" s="320"/>
      <c r="H147" s="320"/>
      <c r="I147" s="320"/>
      <c r="J147" s="320"/>
      <c r="K147" s="320"/>
      <c r="L147" s="320"/>
      <c r="M147" s="320"/>
      <c r="N147" s="322"/>
      <c r="O147" s="321"/>
      <c r="P147" s="323"/>
      <c r="Q147" s="323"/>
      <c r="R147" s="324"/>
      <c r="S147" s="319"/>
      <c r="T147" s="321"/>
    </row>
    <row r="148" spans="1:20" s="233" customFormat="1" ht="38.25" customHeight="1">
      <c r="A148" s="317"/>
      <c r="B148" s="318"/>
      <c r="C148" s="319"/>
      <c r="D148" s="320"/>
      <c r="E148" s="321"/>
      <c r="F148" s="321"/>
      <c r="G148" s="320"/>
      <c r="H148" s="320"/>
      <c r="I148" s="320"/>
      <c r="J148" s="320"/>
      <c r="K148" s="320"/>
      <c r="L148" s="320"/>
      <c r="M148" s="320"/>
      <c r="N148" s="322"/>
      <c r="O148" s="321"/>
      <c r="P148" s="323"/>
      <c r="Q148" s="323"/>
      <c r="R148" s="324"/>
      <c r="S148" s="319"/>
      <c r="T148" s="321"/>
    </row>
    <row r="149" spans="1:20" s="233" customFormat="1" ht="38.25" customHeight="1">
      <c r="A149" s="317"/>
      <c r="B149" s="318"/>
      <c r="C149" s="319"/>
      <c r="D149" s="320"/>
      <c r="E149" s="321"/>
      <c r="F149" s="321"/>
      <c r="G149" s="320"/>
      <c r="H149" s="320"/>
      <c r="I149" s="320"/>
      <c r="J149" s="320"/>
      <c r="K149" s="320"/>
      <c r="L149" s="320"/>
      <c r="M149" s="320"/>
      <c r="N149" s="322"/>
      <c r="O149" s="321"/>
      <c r="P149" s="323"/>
      <c r="Q149" s="323"/>
      <c r="R149" s="324"/>
      <c r="S149" s="319"/>
      <c r="T149" s="321"/>
    </row>
    <row r="150" spans="1:20" s="233" customFormat="1" ht="38.25" customHeight="1">
      <c r="A150" s="317"/>
      <c r="B150" s="318"/>
      <c r="C150" s="319"/>
      <c r="D150" s="320"/>
      <c r="E150" s="321"/>
      <c r="F150" s="321"/>
      <c r="G150" s="320"/>
      <c r="H150" s="320"/>
      <c r="I150" s="320"/>
      <c r="J150" s="320"/>
      <c r="K150" s="320"/>
      <c r="L150" s="320"/>
      <c r="M150" s="320"/>
      <c r="N150" s="322"/>
      <c r="O150" s="321"/>
      <c r="P150" s="323"/>
      <c r="Q150" s="323"/>
      <c r="R150" s="324"/>
      <c r="S150" s="319"/>
      <c r="T150" s="321"/>
    </row>
    <row r="151" spans="1:20" s="233" customFormat="1" ht="38.25" customHeight="1">
      <c r="A151" s="317"/>
      <c r="B151" s="318"/>
      <c r="C151" s="319"/>
      <c r="D151" s="320"/>
      <c r="E151" s="321"/>
      <c r="F151" s="321"/>
      <c r="G151" s="320"/>
      <c r="H151" s="320"/>
      <c r="I151" s="320"/>
      <c r="J151" s="320"/>
      <c r="K151" s="320"/>
      <c r="L151" s="320"/>
      <c r="M151" s="320"/>
      <c r="N151" s="322"/>
      <c r="O151" s="321"/>
      <c r="P151" s="323"/>
      <c r="Q151" s="323"/>
      <c r="R151" s="324"/>
      <c r="S151" s="319"/>
      <c r="T151" s="321"/>
    </row>
    <row r="152" spans="1:20" s="233" customFormat="1" ht="38.25" customHeight="1">
      <c r="A152" s="317"/>
      <c r="B152" s="318"/>
      <c r="C152" s="319"/>
      <c r="D152" s="320"/>
      <c r="E152" s="321"/>
      <c r="F152" s="321"/>
      <c r="G152" s="320"/>
      <c r="H152" s="320"/>
      <c r="I152" s="320"/>
      <c r="J152" s="320"/>
      <c r="K152" s="320"/>
      <c r="L152" s="320"/>
      <c r="M152" s="320"/>
      <c r="N152" s="322"/>
      <c r="O152" s="321"/>
      <c r="P152" s="323"/>
      <c r="Q152" s="323"/>
      <c r="R152" s="324"/>
      <c r="S152" s="319"/>
      <c r="T152" s="321"/>
    </row>
    <row r="153" spans="1:20" s="233" customFormat="1" ht="38.25" customHeight="1">
      <c r="A153" s="317"/>
      <c r="B153" s="318"/>
      <c r="C153" s="319"/>
      <c r="D153" s="320"/>
      <c r="E153" s="321"/>
      <c r="F153" s="321"/>
      <c r="G153" s="320"/>
      <c r="H153" s="320"/>
      <c r="I153" s="320"/>
      <c r="J153" s="320"/>
      <c r="K153" s="320"/>
      <c r="L153" s="320"/>
      <c r="M153" s="320"/>
      <c r="N153" s="322"/>
      <c r="O153" s="321"/>
      <c r="P153" s="323"/>
      <c r="Q153" s="323"/>
      <c r="R153" s="324"/>
      <c r="S153" s="319"/>
      <c r="T153" s="321"/>
    </row>
    <row r="154" spans="1:20" s="233" customFormat="1" ht="38.25" customHeight="1">
      <c r="A154" s="317"/>
      <c r="B154" s="318"/>
      <c r="C154" s="319"/>
      <c r="D154" s="320"/>
      <c r="E154" s="321"/>
      <c r="F154" s="321"/>
      <c r="G154" s="320"/>
      <c r="H154" s="320"/>
      <c r="I154" s="320"/>
      <c r="J154" s="320"/>
      <c r="K154" s="320"/>
      <c r="L154" s="320"/>
      <c r="M154" s="320"/>
      <c r="N154" s="322"/>
      <c r="O154" s="321"/>
      <c r="P154" s="323"/>
      <c r="Q154" s="323"/>
      <c r="R154" s="324"/>
      <c r="S154" s="319"/>
      <c r="T154" s="321"/>
    </row>
    <row r="155" spans="1:20" s="233" customFormat="1" ht="38.25" customHeight="1">
      <c r="A155" s="317"/>
      <c r="B155" s="318"/>
      <c r="C155" s="319"/>
      <c r="D155" s="320"/>
      <c r="E155" s="321"/>
      <c r="F155" s="321"/>
      <c r="G155" s="320"/>
      <c r="H155" s="320"/>
      <c r="I155" s="320"/>
      <c r="J155" s="320"/>
      <c r="K155" s="320"/>
      <c r="L155" s="320"/>
      <c r="M155" s="320"/>
      <c r="N155" s="322"/>
      <c r="O155" s="321"/>
      <c r="P155" s="323"/>
      <c r="Q155" s="323"/>
      <c r="R155" s="324"/>
      <c r="S155" s="319"/>
      <c r="T155" s="321"/>
    </row>
    <row r="156" spans="1:20" s="233" customFormat="1" ht="38.25" customHeight="1">
      <c r="A156" s="317"/>
      <c r="B156" s="318"/>
      <c r="C156" s="319"/>
      <c r="D156" s="320"/>
      <c r="E156" s="321"/>
      <c r="F156" s="321"/>
      <c r="G156" s="320"/>
      <c r="H156" s="320"/>
      <c r="I156" s="320"/>
      <c r="J156" s="320"/>
      <c r="K156" s="320"/>
      <c r="L156" s="320"/>
      <c r="M156" s="320"/>
      <c r="N156" s="322"/>
      <c r="O156" s="321"/>
      <c r="P156" s="323"/>
      <c r="Q156" s="323"/>
      <c r="R156" s="324"/>
      <c r="S156" s="319"/>
      <c r="T156" s="321"/>
    </row>
    <row r="157" spans="1:20" s="233" customFormat="1" ht="38.25" customHeight="1">
      <c r="A157" s="317"/>
      <c r="B157" s="318"/>
      <c r="C157" s="319"/>
      <c r="D157" s="320"/>
      <c r="E157" s="321"/>
      <c r="F157" s="321"/>
      <c r="G157" s="320"/>
      <c r="H157" s="320"/>
      <c r="I157" s="320"/>
      <c r="J157" s="320"/>
      <c r="K157" s="320"/>
      <c r="L157" s="320"/>
      <c r="M157" s="320"/>
      <c r="N157" s="322"/>
      <c r="O157" s="321"/>
      <c r="P157" s="323"/>
      <c r="Q157" s="323"/>
      <c r="R157" s="324"/>
      <c r="S157" s="319"/>
      <c r="T157" s="321"/>
    </row>
    <row r="158" spans="1:20" s="233" customFormat="1" ht="38.25" customHeight="1">
      <c r="A158" s="317"/>
      <c r="B158" s="318"/>
      <c r="C158" s="319"/>
      <c r="D158" s="320"/>
      <c r="E158" s="321"/>
      <c r="F158" s="321"/>
      <c r="G158" s="320"/>
      <c r="H158" s="320"/>
      <c r="I158" s="320"/>
      <c r="J158" s="320"/>
      <c r="K158" s="320"/>
      <c r="L158" s="320"/>
      <c r="M158" s="320"/>
      <c r="N158" s="322"/>
      <c r="O158" s="321"/>
      <c r="P158" s="323"/>
      <c r="Q158" s="323"/>
      <c r="R158" s="324"/>
      <c r="S158" s="319"/>
      <c r="T158" s="321"/>
    </row>
    <row r="159" spans="1:20" s="233" customFormat="1" ht="38.25" customHeight="1">
      <c r="A159" s="317"/>
      <c r="B159" s="318"/>
      <c r="C159" s="319"/>
      <c r="D159" s="320"/>
      <c r="E159" s="321"/>
      <c r="F159" s="321"/>
      <c r="G159" s="320"/>
      <c r="H159" s="320"/>
      <c r="I159" s="320"/>
      <c r="J159" s="320"/>
      <c r="K159" s="320"/>
      <c r="L159" s="320"/>
      <c r="M159" s="320"/>
      <c r="N159" s="322"/>
      <c r="O159" s="321"/>
      <c r="P159" s="323"/>
      <c r="Q159" s="323"/>
      <c r="R159" s="324"/>
      <c r="S159" s="319"/>
      <c r="T159" s="321"/>
    </row>
    <row r="160" spans="1:20" s="233" customFormat="1" ht="38.25" customHeight="1">
      <c r="A160" s="317"/>
      <c r="B160" s="318"/>
      <c r="C160" s="319"/>
      <c r="D160" s="320"/>
      <c r="E160" s="321"/>
      <c r="F160" s="321"/>
      <c r="G160" s="320"/>
      <c r="H160" s="320"/>
      <c r="I160" s="320"/>
      <c r="J160" s="320"/>
      <c r="K160" s="320"/>
      <c r="L160" s="320"/>
      <c r="M160" s="320"/>
      <c r="N160" s="322"/>
      <c r="O160" s="321"/>
      <c r="P160" s="323"/>
      <c r="Q160" s="323"/>
      <c r="R160" s="324"/>
      <c r="S160" s="319"/>
      <c r="T160" s="321"/>
    </row>
    <row r="161" spans="1:20" s="233" customFormat="1" ht="38.25" customHeight="1">
      <c r="A161" s="317"/>
      <c r="B161" s="318"/>
      <c r="C161" s="319"/>
      <c r="D161" s="320"/>
      <c r="E161" s="321"/>
      <c r="F161" s="321"/>
      <c r="G161" s="320"/>
      <c r="H161" s="320"/>
      <c r="I161" s="320"/>
      <c r="J161" s="320"/>
      <c r="K161" s="320"/>
      <c r="L161" s="320"/>
      <c r="M161" s="320"/>
      <c r="N161" s="322"/>
      <c r="O161" s="321"/>
      <c r="P161" s="323"/>
      <c r="Q161" s="323"/>
      <c r="R161" s="324"/>
      <c r="S161" s="319"/>
      <c r="T161" s="321"/>
    </row>
    <row r="162" spans="1:20" s="233" customFormat="1" ht="38.25" customHeight="1">
      <c r="A162" s="317"/>
      <c r="B162" s="318"/>
      <c r="C162" s="319"/>
      <c r="D162" s="320"/>
      <c r="E162" s="321"/>
      <c r="F162" s="321"/>
      <c r="G162" s="320"/>
      <c r="H162" s="320"/>
      <c r="I162" s="320"/>
      <c r="J162" s="320"/>
      <c r="K162" s="320"/>
      <c r="L162" s="320"/>
      <c r="M162" s="320"/>
      <c r="N162" s="322"/>
      <c r="O162" s="321"/>
      <c r="P162" s="323"/>
      <c r="Q162" s="323"/>
      <c r="R162" s="324"/>
      <c r="S162" s="319"/>
      <c r="T162" s="321"/>
    </row>
    <row r="163" spans="1:20" s="233" customFormat="1" ht="38.25" customHeight="1">
      <c r="A163" s="317"/>
      <c r="B163" s="318"/>
      <c r="C163" s="319"/>
      <c r="D163" s="320"/>
      <c r="E163" s="321"/>
      <c r="F163" s="321"/>
      <c r="G163" s="320"/>
      <c r="H163" s="320"/>
      <c r="I163" s="320"/>
      <c r="J163" s="320"/>
      <c r="K163" s="320"/>
      <c r="L163" s="320"/>
      <c r="M163" s="320"/>
      <c r="N163" s="322"/>
      <c r="O163" s="321"/>
      <c r="P163" s="323"/>
      <c r="Q163" s="323"/>
      <c r="R163" s="324"/>
      <c r="S163" s="319"/>
      <c r="T163" s="321"/>
    </row>
    <row r="164" spans="1:20" s="233" customFormat="1" ht="38.25" customHeight="1">
      <c r="A164" s="317"/>
      <c r="B164" s="318"/>
      <c r="C164" s="319"/>
      <c r="D164" s="320"/>
      <c r="E164" s="321"/>
      <c r="F164" s="321"/>
      <c r="G164" s="320"/>
      <c r="H164" s="320"/>
      <c r="I164" s="320"/>
      <c r="J164" s="320"/>
      <c r="K164" s="320"/>
      <c r="L164" s="320"/>
      <c r="M164" s="320"/>
      <c r="N164" s="322"/>
      <c r="O164" s="321"/>
      <c r="P164" s="323"/>
      <c r="Q164" s="323"/>
      <c r="R164" s="324"/>
      <c r="S164" s="319"/>
      <c r="T164" s="321"/>
    </row>
    <row r="165" spans="1:20" s="233" customFormat="1" ht="38.25" customHeight="1">
      <c r="A165" s="317"/>
      <c r="B165" s="318"/>
      <c r="C165" s="319"/>
      <c r="D165" s="320"/>
      <c r="E165" s="321"/>
      <c r="F165" s="321"/>
      <c r="G165" s="320"/>
      <c r="H165" s="320"/>
      <c r="I165" s="320"/>
      <c r="J165" s="320"/>
      <c r="K165" s="320"/>
      <c r="L165" s="320"/>
      <c r="M165" s="320"/>
      <c r="N165" s="322"/>
      <c r="O165" s="321"/>
      <c r="P165" s="323"/>
      <c r="Q165" s="323"/>
      <c r="R165" s="324"/>
      <c r="S165" s="319"/>
      <c r="T165" s="321"/>
    </row>
    <row r="166" spans="1:20" s="233" customFormat="1" ht="38.25" customHeight="1">
      <c r="A166" s="317"/>
      <c r="B166" s="318"/>
      <c r="C166" s="319"/>
      <c r="D166" s="320"/>
      <c r="E166" s="321"/>
      <c r="F166" s="321"/>
      <c r="G166" s="320"/>
      <c r="H166" s="320"/>
      <c r="I166" s="320"/>
      <c r="J166" s="320"/>
      <c r="K166" s="320"/>
      <c r="L166" s="320"/>
      <c r="M166" s="320"/>
      <c r="N166" s="322"/>
      <c r="O166" s="321"/>
      <c r="P166" s="323"/>
      <c r="Q166" s="323"/>
      <c r="R166" s="324"/>
      <c r="S166" s="319"/>
      <c r="T166" s="321"/>
    </row>
    <row r="167" spans="1:20" s="233" customFormat="1" ht="38.25" customHeight="1">
      <c r="A167" s="317"/>
      <c r="B167" s="318"/>
      <c r="C167" s="319"/>
      <c r="D167" s="320"/>
      <c r="E167" s="321"/>
      <c r="F167" s="321"/>
      <c r="G167" s="320"/>
      <c r="H167" s="320"/>
      <c r="I167" s="320"/>
      <c r="J167" s="320"/>
      <c r="K167" s="320"/>
      <c r="L167" s="320"/>
      <c r="M167" s="320"/>
      <c r="N167" s="322"/>
      <c r="O167" s="321"/>
      <c r="P167" s="323"/>
      <c r="Q167" s="323"/>
      <c r="R167" s="324"/>
      <c r="S167" s="319"/>
      <c r="T167" s="321"/>
    </row>
    <row r="168" spans="1:20" s="233" customFormat="1" ht="38.25" customHeight="1">
      <c r="A168" s="317"/>
      <c r="B168" s="318"/>
      <c r="C168" s="319"/>
      <c r="D168" s="320"/>
      <c r="E168" s="321"/>
      <c r="F168" s="321"/>
      <c r="G168" s="320"/>
      <c r="H168" s="320"/>
      <c r="I168" s="320"/>
      <c r="J168" s="320"/>
      <c r="K168" s="320"/>
      <c r="L168" s="320"/>
      <c r="M168" s="320"/>
      <c r="N168" s="322"/>
      <c r="O168" s="321"/>
      <c r="P168" s="323"/>
      <c r="Q168" s="323"/>
      <c r="R168" s="324"/>
      <c r="S168" s="319"/>
      <c r="T168" s="321"/>
    </row>
    <row r="169" spans="1:20" s="233" customFormat="1" ht="38.25" customHeight="1">
      <c r="A169" s="317"/>
      <c r="B169" s="318"/>
      <c r="C169" s="319"/>
      <c r="D169" s="320"/>
      <c r="E169" s="321"/>
      <c r="F169" s="321"/>
      <c r="G169" s="320"/>
      <c r="H169" s="320"/>
      <c r="I169" s="320"/>
      <c r="J169" s="320"/>
      <c r="K169" s="320"/>
      <c r="L169" s="320"/>
      <c r="M169" s="320"/>
      <c r="N169" s="322"/>
      <c r="O169" s="321"/>
      <c r="P169" s="323"/>
      <c r="Q169" s="323"/>
      <c r="R169" s="324"/>
      <c r="S169" s="319"/>
      <c r="T169" s="321"/>
    </row>
    <row r="170" spans="1:20" s="233" customFormat="1" ht="38.25" customHeight="1">
      <c r="A170" s="317"/>
      <c r="B170" s="318"/>
      <c r="C170" s="319"/>
      <c r="D170" s="320"/>
      <c r="E170" s="321"/>
      <c r="F170" s="321"/>
      <c r="G170" s="320"/>
      <c r="H170" s="320"/>
      <c r="I170" s="320"/>
      <c r="J170" s="320"/>
      <c r="K170" s="320"/>
      <c r="L170" s="320"/>
      <c r="M170" s="320"/>
      <c r="N170" s="322"/>
      <c r="O170" s="321"/>
      <c r="P170" s="323"/>
      <c r="Q170" s="323"/>
      <c r="R170" s="324"/>
      <c r="S170" s="319"/>
      <c r="T170" s="321"/>
    </row>
    <row r="171" spans="1:20" s="233" customFormat="1" ht="38.25" customHeight="1">
      <c r="A171" s="317"/>
      <c r="B171" s="318"/>
      <c r="C171" s="319"/>
      <c r="D171" s="320"/>
      <c r="E171" s="321"/>
      <c r="F171" s="321"/>
      <c r="G171" s="320"/>
      <c r="H171" s="320"/>
      <c r="I171" s="320"/>
      <c r="J171" s="320"/>
      <c r="K171" s="320"/>
      <c r="L171" s="320"/>
      <c r="M171" s="320"/>
      <c r="N171" s="322"/>
      <c r="O171" s="321"/>
      <c r="P171" s="323"/>
      <c r="Q171" s="323"/>
      <c r="R171" s="324"/>
      <c r="S171" s="319"/>
      <c r="T171" s="321"/>
    </row>
    <row r="172" spans="1:20" s="233" customFormat="1" ht="38.25" customHeight="1">
      <c r="A172" s="317"/>
      <c r="B172" s="318"/>
      <c r="C172" s="319"/>
      <c r="D172" s="320"/>
      <c r="E172" s="321"/>
      <c r="F172" s="321"/>
      <c r="G172" s="320"/>
      <c r="H172" s="320"/>
      <c r="I172" s="320"/>
      <c r="J172" s="320"/>
      <c r="K172" s="320"/>
      <c r="L172" s="320"/>
      <c r="M172" s="320"/>
      <c r="N172" s="322"/>
      <c r="O172" s="321"/>
      <c r="P172" s="323"/>
      <c r="Q172" s="323"/>
      <c r="R172" s="324"/>
      <c r="S172" s="319"/>
      <c r="T172" s="321"/>
    </row>
    <row r="173" spans="1:20" s="233" customFormat="1" ht="38.25" customHeight="1">
      <c r="A173" s="317"/>
      <c r="B173" s="318"/>
      <c r="C173" s="319"/>
      <c r="D173" s="320"/>
      <c r="E173" s="321"/>
      <c r="F173" s="321"/>
      <c r="G173" s="320"/>
      <c r="H173" s="320"/>
      <c r="I173" s="320"/>
      <c r="J173" s="320"/>
      <c r="K173" s="320"/>
      <c r="L173" s="320"/>
      <c r="M173" s="320"/>
      <c r="N173" s="322"/>
      <c r="O173" s="321"/>
      <c r="P173" s="323"/>
      <c r="Q173" s="323"/>
      <c r="R173" s="324"/>
      <c r="S173" s="319"/>
      <c r="T173" s="321"/>
    </row>
    <row r="174" spans="1:20" s="233" customFormat="1" ht="38.25" customHeight="1">
      <c r="A174" s="317"/>
      <c r="B174" s="318"/>
      <c r="C174" s="319"/>
      <c r="D174" s="320"/>
      <c r="E174" s="321"/>
      <c r="F174" s="321"/>
      <c r="G174" s="320"/>
      <c r="H174" s="320"/>
      <c r="I174" s="320"/>
      <c r="J174" s="320"/>
      <c r="K174" s="320"/>
      <c r="L174" s="320"/>
      <c r="M174" s="320"/>
      <c r="N174" s="322"/>
      <c r="O174" s="321"/>
      <c r="P174" s="323"/>
      <c r="Q174" s="323"/>
      <c r="R174" s="324"/>
      <c r="S174" s="319"/>
      <c r="T174" s="321"/>
    </row>
    <row r="175" spans="1:20" s="233" customFormat="1" ht="38.25" customHeight="1">
      <c r="A175" s="317"/>
      <c r="B175" s="318"/>
      <c r="C175" s="319"/>
      <c r="D175" s="320"/>
      <c r="E175" s="321"/>
      <c r="F175" s="321"/>
      <c r="G175" s="320"/>
      <c r="H175" s="320"/>
      <c r="I175" s="320"/>
      <c r="J175" s="320"/>
      <c r="K175" s="320"/>
      <c r="L175" s="320"/>
      <c r="M175" s="320"/>
      <c r="N175" s="322"/>
      <c r="O175" s="321"/>
      <c r="P175" s="323"/>
      <c r="Q175" s="323"/>
      <c r="R175" s="324"/>
      <c r="S175" s="319"/>
      <c r="T175" s="321"/>
    </row>
    <row r="176" spans="1:20" s="233" customFormat="1" ht="38.25" customHeight="1">
      <c r="A176" s="317"/>
      <c r="B176" s="318"/>
      <c r="C176" s="319"/>
      <c r="D176" s="320"/>
      <c r="E176" s="321"/>
      <c r="F176" s="321"/>
      <c r="G176" s="320"/>
      <c r="H176" s="320"/>
      <c r="I176" s="320"/>
      <c r="J176" s="320"/>
      <c r="K176" s="320"/>
      <c r="L176" s="320"/>
      <c r="M176" s="320"/>
      <c r="N176" s="322"/>
      <c r="O176" s="321"/>
      <c r="P176" s="323"/>
      <c r="Q176" s="323"/>
      <c r="R176" s="324"/>
      <c r="S176" s="319"/>
      <c r="T176" s="321"/>
    </row>
    <row r="177" spans="1:21" s="233" customFormat="1" ht="38.25" customHeight="1">
      <c r="A177" s="317"/>
      <c r="B177" s="318"/>
      <c r="C177" s="319"/>
      <c r="D177" s="320"/>
      <c r="E177" s="321"/>
      <c r="F177" s="321"/>
      <c r="G177" s="320"/>
      <c r="H177" s="320"/>
      <c r="I177" s="320"/>
      <c r="J177" s="320"/>
      <c r="K177" s="320"/>
      <c r="L177" s="320"/>
      <c r="M177" s="320"/>
      <c r="N177" s="322"/>
      <c r="O177" s="321"/>
      <c r="P177" s="323"/>
      <c r="Q177" s="323"/>
      <c r="R177" s="324"/>
      <c r="S177" s="319"/>
      <c r="T177" s="321"/>
    </row>
    <row r="178" spans="1:21" s="233" customFormat="1" ht="38.25" customHeight="1">
      <c r="A178" s="317"/>
      <c r="B178" s="318"/>
      <c r="C178" s="319"/>
      <c r="D178" s="320"/>
      <c r="E178" s="321"/>
      <c r="F178" s="321"/>
      <c r="G178" s="320"/>
      <c r="H178" s="320"/>
      <c r="I178" s="320"/>
      <c r="J178" s="320"/>
      <c r="K178" s="320"/>
      <c r="L178" s="320"/>
      <c r="M178" s="320"/>
      <c r="N178" s="322"/>
      <c r="O178" s="321"/>
      <c r="P178" s="323"/>
      <c r="Q178" s="323"/>
      <c r="R178" s="324"/>
      <c r="S178" s="319"/>
      <c r="T178" s="321"/>
    </row>
    <row r="179" spans="1:21" s="233" customFormat="1" ht="38.25" customHeight="1">
      <c r="A179" s="317"/>
      <c r="B179" s="318"/>
      <c r="C179" s="319"/>
      <c r="D179" s="320"/>
      <c r="E179" s="321"/>
      <c r="F179" s="321"/>
      <c r="G179" s="320"/>
      <c r="H179" s="320"/>
      <c r="I179" s="320"/>
      <c r="J179" s="320"/>
      <c r="K179" s="320"/>
      <c r="L179" s="320"/>
      <c r="M179" s="320"/>
      <c r="N179" s="322"/>
      <c r="O179" s="321"/>
      <c r="P179" s="323"/>
      <c r="Q179" s="323"/>
      <c r="R179" s="324"/>
      <c r="S179" s="319"/>
      <c r="T179" s="321"/>
    </row>
    <row r="180" spans="1:21" s="233" customFormat="1" ht="38.25" customHeight="1">
      <c r="A180" s="317"/>
      <c r="B180" s="318"/>
      <c r="C180" s="319"/>
      <c r="D180" s="320"/>
      <c r="E180" s="321"/>
      <c r="F180" s="321"/>
      <c r="G180" s="320"/>
      <c r="H180" s="320"/>
      <c r="I180" s="320"/>
      <c r="J180" s="320"/>
      <c r="K180" s="320"/>
      <c r="L180" s="320"/>
      <c r="M180" s="320"/>
      <c r="N180" s="322"/>
      <c r="O180" s="321"/>
      <c r="P180" s="323"/>
      <c r="Q180" s="323"/>
      <c r="R180" s="324"/>
      <c r="S180" s="319"/>
      <c r="T180" s="321"/>
    </row>
    <row r="181" spans="1:21" s="233" customFormat="1" ht="38.25" customHeight="1">
      <c r="A181" s="317"/>
      <c r="B181" s="318"/>
      <c r="C181" s="319"/>
      <c r="D181" s="320"/>
      <c r="E181" s="321"/>
      <c r="F181" s="321"/>
      <c r="G181" s="320"/>
      <c r="H181" s="320"/>
      <c r="I181" s="320"/>
      <c r="J181" s="320"/>
      <c r="K181" s="320"/>
      <c r="L181" s="320"/>
      <c r="M181" s="320"/>
      <c r="N181" s="322"/>
      <c r="O181" s="321"/>
      <c r="P181" s="323"/>
      <c r="Q181" s="323"/>
      <c r="R181" s="324"/>
      <c r="S181" s="319"/>
      <c r="T181" s="321"/>
    </row>
    <row r="182" spans="1:21" s="233" customFormat="1" ht="38.25" customHeight="1">
      <c r="A182" s="317"/>
      <c r="B182" s="318"/>
      <c r="C182" s="319"/>
      <c r="D182" s="320"/>
      <c r="E182" s="321"/>
      <c r="F182" s="321"/>
      <c r="G182" s="320"/>
      <c r="H182" s="320"/>
      <c r="I182" s="320"/>
      <c r="J182" s="320"/>
      <c r="K182" s="320"/>
      <c r="L182" s="320"/>
      <c r="M182" s="320"/>
      <c r="N182" s="322"/>
      <c r="O182" s="321"/>
      <c r="P182" s="323"/>
      <c r="Q182" s="323"/>
      <c r="R182" s="324"/>
      <c r="S182" s="319"/>
      <c r="T182" s="321"/>
    </row>
    <row r="183" spans="1:21" s="233" customFormat="1" ht="38.25" customHeight="1">
      <c r="A183" s="317"/>
      <c r="B183" s="318"/>
      <c r="C183" s="319"/>
      <c r="D183" s="320"/>
      <c r="E183" s="321"/>
      <c r="F183" s="321"/>
      <c r="G183" s="320"/>
      <c r="H183" s="320"/>
      <c r="I183" s="320"/>
      <c r="J183" s="320"/>
      <c r="K183" s="320"/>
      <c r="L183" s="320"/>
      <c r="M183" s="320"/>
      <c r="N183" s="322"/>
      <c r="O183" s="321"/>
      <c r="P183" s="323"/>
      <c r="Q183" s="323"/>
      <c r="R183" s="324"/>
      <c r="S183" s="319"/>
      <c r="T183" s="321"/>
    </row>
    <row r="184" spans="1:21" s="233" customFormat="1" ht="38.25" customHeight="1">
      <c r="A184" s="317"/>
      <c r="B184" s="318"/>
      <c r="C184" s="319"/>
      <c r="D184" s="320"/>
      <c r="E184" s="321"/>
      <c r="F184" s="321"/>
      <c r="G184" s="320"/>
      <c r="H184" s="320"/>
      <c r="I184" s="320"/>
      <c r="J184" s="320"/>
      <c r="K184" s="320"/>
      <c r="L184" s="320"/>
      <c r="M184" s="320"/>
      <c r="N184" s="322"/>
      <c r="O184" s="321"/>
      <c r="P184" s="323"/>
      <c r="Q184" s="323"/>
      <c r="R184" s="324"/>
      <c r="S184" s="319"/>
      <c r="T184" s="321"/>
    </row>
    <row r="185" spans="1:21" s="233" customFormat="1" ht="38.25" customHeight="1">
      <c r="A185" s="317"/>
      <c r="B185" s="318"/>
      <c r="C185" s="319"/>
      <c r="D185" s="320"/>
      <c r="E185" s="321"/>
      <c r="F185" s="321"/>
      <c r="G185" s="320"/>
      <c r="H185" s="320"/>
      <c r="I185" s="320"/>
      <c r="J185" s="320"/>
      <c r="K185" s="320"/>
      <c r="L185" s="320"/>
      <c r="M185" s="320"/>
      <c r="N185" s="322"/>
      <c r="O185" s="321"/>
      <c r="P185" s="323"/>
      <c r="Q185" s="323"/>
      <c r="R185" s="324"/>
      <c r="S185" s="319"/>
      <c r="T185" s="321"/>
    </row>
    <row r="186" spans="1:21" s="233" customFormat="1" ht="38.25" customHeight="1">
      <c r="A186" s="317"/>
      <c r="B186" s="318"/>
      <c r="C186" s="319"/>
      <c r="D186" s="320"/>
      <c r="E186" s="321"/>
      <c r="F186" s="321"/>
      <c r="G186" s="320"/>
      <c r="H186" s="320"/>
      <c r="I186" s="320"/>
      <c r="J186" s="320"/>
      <c r="K186" s="320"/>
      <c r="L186" s="320"/>
      <c r="M186" s="320"/>
      <c r="N186" s="322"/>
      <c r="O186" s="321"/>
      <c r="P186" s="323"/>
      <c r="Q186" s="323"/>
      <c r="R186" s="324"/>
      <c r="S186" s="319"/>
      <c r="T186" s="321"/>
    </row>
    <row r="187" spans="1:21">
      <c r="R187" s="277">
        <f>R18-R190</f>
        <v>3708</v>
      </c>
    </row>
    <row r="190" spans="1:21">
      <c r="R190" s="315">
        <f>SUM(R191:R196)</f>
        <v>12750</v>
      </c>
    </row>
    <row r="191" spans="1:21" ht="60">
      <c r="A191" s="234">
        <v>1</v>
      </c>
      <c r="B191" s="235" t="s">
        <v>543</v>
      </c>
      <c r="C191" s="223" t="s">
        <v>544</v>
      </c>
      <c r="D191" s="314">
        <v>13000</v>
      </c>
      <c r="E191" s="223"/>
      <c r="F191" s="314">
        <v>2750</v>
      </c>
      <c r="H191" s="314">
        <v>1000</v>
      </c>
      <c r="I191" s="314">
        <v>2000</v>
      </c>
      <c r="J191" s="314">
        <v>3250</v>
      </c>
      <c r="K191" s="314">
        <v>4000</v>
      </c>
      <c r="L191" s="314"/>
      <c r="M191" s="314"/>
      <c r="N191" s="314"/>
      <c r="O191" s="223" t="s">
        <v>544</v>
      </c>
      <c r="P191" s="238" t="e">
        <f>D191-#REF!</f>
        <v>#REF!</v>
      </c>
      <c r="Q191" s="238">
        <f>J191</f>
        <v>3250</v>
      </c>
      <c r="R191" s="243">
        <v>2750</v>
      </c>
      <c r="S191" s="223" t="s">
        <v>545</v>
      </c>
      <c r="T191" s="223" t="s">
        <v>546</v>
      </c>
    </row>
    <row r="192" spans="1:21" ht="30">
      <c r="A192" s="234">
        <v>2</v>
      </c>
      <c r="B192" s="235" t="s">
        <v>500</v>
      </c>
      <c r="C192" s="223" t="s">
        <v>519</v>
      </c>
      <c r="D192" s="237">
        <v>3700</v>
      </c>
      <c r="E192" s="237"/>
      <c r="F192" s="237"/>
      <c r="G192" s="237"/>
      <c r="H192" s="237"/>
      <c r="I192" s="237"/>
      <c r="J192" s="237"/>
      <c r="K192" s="237"/>
      <c r="L192" s="237"/>
      <c r="M192" s="237"/>
      <c r="N192" s="223"/>
      <c r="O192" s="238">
        <f>D192-M192</f>
        <v>3700</v>
      </c>
      <c r="P192" s="238"/>
      <c r="Q192" s="236"/>
      <c r="R192" s="243">
        <v>2000</v>
      </c>
      <c r="S192" s="223" t="s">
        <v>465</v>
      </c>
      <c r="T192" s="223" t="s">
        <v>520</v>
      </c>
      <c r="U192" s="271"/>
    </row>
    <row r="193" spans="1:21" ht="30">
      <c r="A193" s="234">
        <v>3</v>
      </c>
      <c r="B193" s="235" t="s">
        <v>501</v>
      </c>
      <c r="C193" s="223" t="s">
        <v>519</v>
      </c>
      <c r="D193" s="237">
        <v>7800</v>
      </c>
      <c r="E193" s="237"/>
      <c r="F193" s="237"/>
      <c r="G193" s="237"/>
      <c r="H193" s="237"/>
      <c r="I193" s="237"/>
      <c r="J193" s="237"/>
      <c r="K193" s="237"/>
      <c r="L193" s="237"/>
      <c r="M193" s="237"/>
      <c r="N193" s="223"/>
      <c r="O193" s="238"/>
      <c r="P193" s="238"/>
      <c r="Q193" s="236"/>
      <c r="R193" s="243">
        <v>2000</v>
      </c>
      <c r="S193" s="223" t="s">
        <v>465</v>
      </c>
      <c r="T193" s="223" t="s">
        <v>520</v>
      </c>
      <c r="U193" s="271"/>
    </row>
    <row r="194" spans="1:21" ht="30">
      <c r="A194" s="234">
        <v>4</v>
      </c>
      <c r="B194" s="235" t="s">
        <v>502</v>
      </c>
      <c r="C194" s="223" t="s">
        <v>519</v>
      </c>
      <c r="D194" s="237">
        <v>7300</v>
      </c>
      <c r="E194" s="237"/>
      <c r="F194" s="237"/>
      <c r="G194" s="237"/>
      <c r="H194" s="237"/>
      <c r="I194" s="237"/>
      <c r="J194" s="237"/>
      <c r="K194" s="237"/>
      <c r="L194" s="237"/>
      <c r="M194" s="237"/>
      <c r="N194" s="223"/>
      <c r="O194" s="238"/>
      <c r="P194" s="238"/>
      <c r="Q194" s="236"/>
      <c r="R194" s="243">
        <v>2000</v>
      </c>
      <c r="S194" s="223" t="s">
        <v>465</v>
      </c>
      <c r="T194" s="223" t="s">
        <v>520</v>
      </c>
      <c r="U194" s="271"/>
    </row>
    <row r="195" spans="1:21" ht="75">
      <c r="A195" s="234">
        <v>5</v>
      </c>
      <c r="B195" s="235" t="s">
        <v>531</v>
      </c>
      <c r="C195" s="223" t="s">
        <v>530</v>
      </c>
      <c r="D195" s="237">
        <v>14900</v>
      </c>
      <c r="E195" s="237"/>
      <c r="F195" s="237"/>
      <c r="G195" s="237"/>
      <c r="H195" s="237"/>
      <c r="I195" s="237"/>
      <c r="J195" s="237"/>
      <c r="K195" s="237"/>
      <c r="L195" s="237"/>
      <c r="M195" s="237"/>
      <c r="N195" s="223"/>
      <c r="O195" s="238"/>
      <c r="P195" s="238"/>
      <c r="Q195" s="236"/>
      <c r="R195" s="243">
        <v>2000</v>
      </c>
      <c r="S195" s="223" t="s">
        <v>465</v>
      </c>
      <c r="T195" s="223" t="s">
        <v>521</v>
      </c>
      <c r="U195" s="271"/>
    </row>
    <row r="196" spans="1:21" ht="75">
      <c r="A196" s="234">
        <v>6</v>
      </c>
      <c r="B196" s="235" t="s">
        <v>532</v>
      </c>
      <c r="C196" s="223" t="s">
        <v>530</v>
      </c>
      <c r="D196" s="237">
        <v>14990</v>
      </c>
      <c r="E196" s="237"/>
      <c r="F196" s="237"/>
      <c r="G196" s="237"/>
      <c r="H196" s="237"/>
      <c r="I196" s="237"/>
      <c r="J196" s="237"/>
      <c r="K196" s="237"/>
      <c r="L196" s="237"/>
      <c r="M196" s="237"/>
      <c r="N196" s="223"/>
      <c r="O196" s="238"/>
      <c r="P196" s="238"/>
      <c r="Q196" s="236"/>
      <c r="R196" s="243">
        <v>2000</v>
      </c>
      <c r="S196" s="223" t="s">
        <v>465</v>
      </c>
      <c r="T196" s="223" t="s">
        <v>521</v>
      </c>
      <c r="U196" s="271"/>
    </row>
  </sheetData>
  <mergeCells count="17">
    <mergeCell ref="T6:T7"/>
    <mergeCell ref="S6:S7"/>
    <mergeCell ref="A1:S1"/>
    <mergeCell ref="A2:S2"/>
    <mergeCell ref="A3:S3"/>
    <mergeCell ref="A6:A7"/>
    <mergeCell ref="B6:B7"/>
    <mergeCell ref="M6:N6"/>
    <mergeCell ref="C6:D6"/>
    <mergeCell ref="F6:L6"/>
    <mergeCell ref="O6:O7"/>
    <mergeCell ref="P6:P7"/>
    <mergeCell ref="Q6:Q7"/>
    <mergeCell ref="R6:R7"/>
    <mergeCell ref="E6:E7"/>
    <mergeCell ref="B4:S4"/>
    <mergeCell ref="S5:T5"/>
  </mergeCells>
  <printOptions horizontalCentered="1"/>
  <pageMargins left="0" right="0" top="0.70866141732283472" bottom="0.43307086614173229" header="0.11811023622047245" footer="0.11811023622047245"/>
  <pageSetup paperSize="9" scale="65"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8"/>
  <sheetViews>
    <sheetView view="pageBreakPreview" zoomScaleNormal="100" zoomScaleSheetLayoutView="100" workbookViewId="0">
      <selection activeCell="G6" sqref="G6"/>
    </sheetView>
  </sheetViews>
  <sheetFormatPr defaultRowHeight="15"/>
  <cols>
    <col min="1" max="1" width="5" bestFit="1" customWidth="1"/>
    <col min="2" max="2" width="21.85546875" bestFit="1" customWidth="1"/>
    <col min="3" max="3" width="12.140625" customWidth="1"/>
    <col min="4" max="5" width="9.42578125" customWidth="1"/>
    <col min="6" max="6" width="8.7109375" customWidth="1"/>
    <col min="7" max="7" width="9.42578125" customWidth="1"/>
    <col min="8" max="8" width="11.7109375" customWidth="1"/>
    <col min="9" max="9" width="7.28515625" bestFit="1" customWidth="1"/>
    <col min="10" max="10" width="11" customWidth="1"/>
    <col min="11" max="11" width="11.28515625" customWidth="1"/>
    <col min="12" max="12" width="7.28515625" bestFit="1" customWidth="1"/>
    <col min="13" max="13" width="10.42578125" customWidth="1"/>
    <col min="14" max="14" width="12" customWidth="1"/>
    <col min="15" max="15" width="38.140625" customWidth="1"/>
    <col min="16" max="16" width="14" customWidth="1"/>
    <col min="18" max="18" width="13.5703125" customWidth="1"/>
  </cols>
  <sheetData>
    <row r="1" spans="1:19" ht="27.75" customHeight="1">
      <c r="A1" s="434" t="s">
        <v>499</v>
      </c>
      <c r="B1" s="434"/>
      <c r="C1" s="434"/>
      <c r="D1" s="434"/>
      <c r="E1" s="434"/>
      <c r="F1" s="434"/>
      <c r="G1" s="434"/>
      <c r="H1" s="434"/>
      <c r="I1" s="434"/>
      <c r="J1" s="434"/>
      <c r="K1" s="434"/>
      <c r="L1" s="434"/>
      <c r="M1" s="434"/>
      <c r="N1" s="434"/>
      <c r="O1" s="434"/>
      <c r="P1" s="246"/>
    </row>
    <row r="2" spans="1:19" ht="35.25" customHeight="1">
      <c r="A2" s="434" t="s">
        <v>611</v>
      </c>
      <c r="B2" s="434"/>
      <c r="C2" s="434"/>
      <c r="D2" s="434"/>
      <c r="E2" s="434"/>
      <c r="F2" s="434"/>
      <c r="G2" s="434"/>
      <c r="H2" s="434"/>
      <c r="I2" s="434"/>
      <c r="J2" s="434"/>
      <c r="K2" s="434"/>
      <c r="L2" s="434"/>
      <c r="M2" s="434"/>
      <c r="N2" s="434"/>
      <c r="O2" s="434"/>
      <c r="P2" s="246"/>
    </row>
    <row r="3" spans="1:19" ht="35.25" customHeight="1">
      <c r="A3" s="433" t="s">
        <v>655</v>
      </c>
      <c r="B3" s="434"/>
      <c r="C3" s="434"/>
      <c r="D3" s="434"/>
      <c r="E3" s="434"/>
      <c r="F3" s="434"/>
      <c r="G3" s="434"/>
      <c r="H3" s="434"/>
      <c r="I3" s="434"/>
      <c r="J3" s="434"/>
      <c r="K3" s="434"/>
      <c r="L3" s="434"/>
      <c r="M3" s="434"/>
      <c r="N3" s="434"/>
      <c r="O3" s="434"/>
      <c r="P3" s="270"/>
    </row>
    <row r="4" spans="1:19" ht="18.75">
      <c r="A4" s="253"/>
      <c r="B4" s="253"/>
      <c r="C4" s="253"/>
      <c r="D4" s="253"/>
      <c r="E4" s="253"/>
      <c r="F4" s="253"/>
      <c r="G4" s="253"/>
      <c r="H4" s="253"/>
      <c r="I4" s="253"/>
      <c r="J4" s="253"/>
      <c r="K4" s="253"/>
      <c r="L4" s="253"/>
      <c r="M4" s="253"/>
      <c r="N4" s="431" t="s">
        <v>650</v>
      </c>
      <c r="O4" s="431"/>
      <c r="P4" s="253"/>
    </row>
    <row r="5" spans="1:19" ht="129.75" customHeight="1">
      <c r="A5" s="438" t="s">
        <v>148</v>
      </c>
      <c r="B5" s="438" t="s">
        <v>451</v>
      </c>
      <c r="C5" s="438" t="s">
        <v>452</v>
      </c>
      <c r="D5" s="438" t="s">
        <v>439</v>
      </c>
      <c r="E5" s="438" t="s">
        <v>481</v>
      </c>
      <c r="F5" s="437" t="s">
        <v>509</v>
      </c>
      <c r="G5" s="437"/>
      <c r="H5" s="437"/>
      <c r="I5" s="437" t="s">
        <v>511</v>
      </c>
      <c r="J5" s="437"/>
      <c r="K5" s="437"/>
      <c r="L5" s="437" t="s">
        <v>510</v>
      </c>
      <c r="M5" s="437"/>
      <c r="N5" s="437"/>
      <c r="O5" s="438" t="s">
        <v>491</v>
      </c>
      <c r="P5" s="274">
        <f>P6/D20</f>
        <v>460.94234345939242</v>
      </c>
    </row>
    <row r="6" spans="1:19" ht="61.5" customHeight="1">
      <c r="A6" s="439"/>
      <c r="B6" s="439"/>
      <c r="C6" s="439"/>
      <c r="D6" s="439"/>
      <c r="E6" s="439"/>
      <c r="F6" s="316" t="s">
        <v>551</v>
      </c>
      <c r="G6" s="316" t="s">
        <v>548</v>
      </c>
      <c r="H6" s="316" t="s">
        <v>480</v>
      </c>
      <c r="I6" s="316" t="s">
        <v>551</v>
      </c>
      <c r="J6" s="316" t="s">
        <v>549</v>
      </c>
      <c r="K6" s="316" t="s">
        <v>480</v>
      </c>
      <c r="L6" s="316" t="s">
        <v>551</v>
      </c>
      <c r="M6" s="316" t="s">
        <v>550</v>
      </c>
      <c r="N6" s="316" t="s">
        <v>480</v>
      </c>
      <c r="O6" s="439"/>
      <c r="P6" s="210">
        <f>'PL1.Tong hop'!C10</f>
        <v>148700</v>
      </c>
      <c r="R6">
        <v>15267.587705681464</v>
      </c>
      <c r="S6">
        <v>15268</v>
      </c>
    </row>
    <row r="7" spans="1:19" ht="28.5" customHeight="1">
      <c r="A7" s="212">
        <v>1</v>
      </c>
      <c r="B7" s="213" t="s">
        <v>183</v>
      </c>
      <c r="C7" s="247">
        <f>N7+K7+H7</f>
        <v>12860.291382517047</v>
      </c>
      <c r="D7" s="248">
        <f>F7*4+I7*1.3+L7*1</f>
        <v>27.9</v>
      </c>
      <c r="E7" s="255">
        <v>21</v>
      </c>
      <c r="F7" s="255">
        <f>'PL4.CHI TIET XA '!U15</f>
        <v>2</v>
      </c>
      <c r="G7" s="255">
        <f t="shared" ref="G7:G19" si="0">$P$5*4</f>
        <v>1843.7693738375697</v>
      </c>
      <c r="H7" s="255">
        <f>F7*G7</f>
        <v>3687.5387476751393</v>
      </c>
      <c r="I7" s="255">
        <f>'PL4.CHI TIET XA '!U14</f>
        <v>3</v>
      </c>
      <c r="J7" s="256">
        <f t="shared" ref="J7:J19" si="1">$P$5*1.3</f>
        <v>599.2250464972102</v>
      </c>
      <c r="K7" s="256">
        <f>I7*J7</f>
        <v>1797.6751394916305</v>
      </c>
      <c r="L7" s="256">
        <f>'PL4.CHI TIET XA '!U12</f>
        <v>16</v>
      </c>
      <c r="M7" s="256">
        <f t="shared" ref="M7:M19" si="2">$P$5</f>
        <v>460.94234345939242</v>
      </c>
      <c r="N7" s="256">
        <f>L7*M7</f>
        <v>7375.0774953502787</v>
      </c>
      <c r="O7" s="289" t="s">
        <v>492</v>
      </c>
      <c r="P7" s="268">
        <v>3</v>
      </c>
      <c r="R7">
        <v>7558.2117354858738</v>
      </c>
      <c r="S7">
        <v>7558</v>
      </c>
    </row>
    <row r="8" spans="1:19" ht="28.5" customHeight="1">
      <c r="A8" s="214">
        <v>2</v>
      </c>
      <c r="B8" s="215" t="s">
        <v>218</v>
      </c>
      <c r="C8" s="248">
        <f t="shared" ref="C8:C19" si="3">N8+K8+H8</f>
        <v>8296.9621822690642</v>
      </c>
      <c r="D8" s="248">
        <f t="shared" ref="D8:D19" si="4">F8*4+I8*1.3+L8*1</f>
        <v>18</v>
      </c>
      <c r="E8" s="248">
        <v>6</v>
      </c>
      <c r="F8" s="248">
        <f>'PL4.CHI TIET XA '!U33</f>
        <v>4</v>
      </c>
      <c r="G8" s="248">
        <f t="shared" si="0"/>
        <v>1843.7693738375697</v>
      </c>
      <c r="H8" s="255">
        <f t="shared" ref="H8:H19" si="5">F8*G8</f>
        <v>7375.0774953502787</v>
      </c>
      <c r="I8" s="248">
        <f>'PL4.CHI TIET XA '!U32</f>
        <v>0</v>
      </c>
      <c r="J8" s="248">
        <f t="shared" si="1"/>
        <v>599.2250464972102</v>
      </c>
      <c r="K8" s="256">
        <f t="shared" ref="K8:K19" si="6">I8*J8</f>
        <v>0</v>
      </c>
      <c r="L8" s="256">
        <f>'PL4.CHI TIET XA '!U30</f>
        <v>2</v>
      </c>
      <c r="M8" s="256">
        <f t="shared" si="2"/>
        <v>460.94234345939242</v>
      </c>
      <c r="N8" s="256">
        <f t="shared" ref="N8:N19" si="7">L8*M8</f>
        <v>921.88468691878484</v>
      </c>
      <c r="O8" s="289"/>
      <c r="P8" s="268"/>
      <c r="R8">
        <v>20155.231294628997</v>
      </c>
      <c r="S8">
        <v>20155</v>
      </c>
    </row>
    <row r="9" spans="1:19" ht="28.5" customHeight="1">
      <c r="A9" s="214">
        <v>3</v>
      </c>
      <c r="B9" s="215" t="s">
        <v>184</v>
      </c>
      <c r="C9" s="248">
        <f t="shared" si="3"/>
        <v>18852.541847489148</v>
      </c>
      <c r="D9" s="248">
        <f t="shared" si="4"/>
        <v>40.9</v>
      </c>
      <c r="E9" s="248">
        <v>25</v>
      </c>
      <c r="F9" s="248">
        <f>'PL4.CHI TIET XA '!U39</f>
        <v>5</v>
      </c>
      <c r="G9" s="248">
        <f t="shared" si="0"/>
        <v>1843.7693738375697</v>
      </c>
      <c r="H9" s="255">
        <f t="shared" si="5"/>
        <v>9218.8468691878479</v>
      </c>
      <c r="I9" s="248">
        <f>'PL4.CHI TIET XA '!U38</f>
        <v>3</v>
      </c>
      <c r="J9" s="248">
        <f t="shared" si="1"/>
        <v>599.2250464972102</v>
      </c>
      <c r="K9" s="256">
        <f t="shared" si="6"/>
        <v>1797.6751394916305</v>
      </c>
      <c r="L9" s="256">
        <f>'PL4.CHI TIET XA '!U37</f>
        <v>17</v>
      </c>
      <c r="M9" s="256">
        <f>$P$5</f>
        <v>460.94234345939242</v>
      </c>
      <c r="N9" s="256">
        <f t="shared" si="7"/>
        <v>7836.0198388096715</v>
      </c>
      <c r="O9" s="289"/>
      <c r="P9" s="268">
        <v>1</v>
      </c>
      <c r="R9">
        <v>3174.4489289040671</v>
      </c>
      <c r="S9">
        <v>3174</v>
      </c>
    </row>
    <row r="10" spans="1:19" ht="28.5" customHeight="1">
      <c r="A10" s="214">
        <v>4</v>
      </c>
      <c r="B10" s="215" t="s">
        <v>250</v>
      </c>
      <c r="C10" s="248">
        <f t="shared" si="3"/>
        <v>3042.2194668319898</v>
      </c>
      <c r="D10" s="248">
        <f t="shared" si="4"/>
        <v>6.6</v>
      </c>
      <c r="E10" s="248">
        <v>6</v>
      </c>
      <c r="F10" s="248">
        <f>'PL4.CHI TIET XA '!U65</f>
        <v>0</v>
      </c>
      <c r="G10" s="248">
        <f t="shared" si="0"/>
        <v>1843.7693738375697</v>
      </c>
      <c r="H10" s="255">
        <f t="shared" si="5"/>
        <v>0</v>
      </c>
      <c r="I10" s="248">
        <f>'PL4.CHI TIET XA '!U63</f>
        <v>2</v>
      </c>
      <c r="J10" s="248">
        <f t="shared" si="1"/>
        <v>599.2250464972102</v>
      </c>
      <c r="K10" s="256">
        <f t="shared" si="6"/>
        <v>1198.4500929944204</v>
      </c>
      <c r="L10" s="256">
        <f>'PL4.CHI TIET XA '!U64</f>
        <v>4</v>
      </c>
      <c r="M10" s="256">
        <f t="shared" si="2"/>
        <v>460.94234345939242</v>
      </c>
      <c r="N10" s="256">
        <f t="shared" si="7"/>
        <v>1843.7693738375697</v>
      </c>
      <c r="O10" s="289" t="s">
        <v>256</v>
      </c>
      <c r="P10" s="268">
        <v>1</v>
      </c>
      <c r="R10">
        <v>24488.606022974229</v>
      </c>
      <c r="S10">
        <v>24489</v>
      </c>
    </row>
    <row r="11" spans="1:19" ht="28.5" customHeight="1">
      <c r="A11" s="214">
        <v>5</v>
      </c>
      <c r="B11" s="215" t="s">
        <v>185</v>
      </c>
      <c r="C11" s="248">
        <f t="shared" si="3"/>
        <v>22816.646001239926</v>
      </c>
      <c r="D11" s="248">
        <f t="shared" si="4"/>
        <v>49.5</v>
      </c>
      <c r="E11" s="248">
        <v>30</v>
      </c>
      <c r="F11" s="248">
        <f>'PL4.CHI TIET XA '!U70</f>
        <v>6</v>
      </c>
      <c r="G11" s="248">
        <f t="shared" si="0"/>
        <v>1843.7693738375697</v>
      </c>
      <c r="H11" s="255">
        <f t="shared" si="5"/>
        <v>11062.616243025419</v>
      </c>
      <c r="I11" s="248">
        <f>'PL4.CHI TIET XA '!U72</f>
        <v>5</v>
      </c>
      <c r="J11" s="248">
        <f t="shared" si="1"/>
        <v>599.2250464972102</v>
      </c>
      <c r="K11" s="256">
        <f t="shared" si="6"/>
        <v>2996.1252324860511</v>
      </c>
      <c r="L11" s="256">
        <f>'PL4.CHI TIET XA '!U71</f>
        <v>19</v>
      </c>
      <c r="M11" s="256">
        <f t="shared" si="2"/>
        <v>460.94234345939242</v>
      </c>
      <c r="N11" s="256">
        <f t="shared" si="7"/>
        <v>8757.9045257284561</v>
      </c>
      <c r="O11" s="289"/>
      <c r="P11" s="268"/>
      <c r="R11">
        <v>11236.541446755666</v>
      </c>
      <c r="S11">
        <v>11237</v>
      </c>
    </row>
    <row r="12" spans="1:19" ht="28.5" customHeight="1">
      <c r="A12" s="214">
        <v>6</v>
      </c>
      <c r="B12" s="215" t="s">
        <v>186</v>
      </c>
      <c r="C12" s="248">
        <f t="shared" si="3"/>
        <v>10509.485430874147</v>
      </c>
      <c r="D12" s="248">
        <f>F12*4+I12*1.3+L12*1</f>
        <v>22.8</v>
      </c>
      <c r="E12" s="248">
        <v>21</v>
      </c>
      <c r="F12" s="248">
        <f>'PL4.CHI TIET XA '!U103</f>
        <v>0</v>
      </c>
      <c r="G12" s="248">
        <f t="shared" si="0"/>
        <v>1843.7693738375697</v>
      </c>
      <c r="H12" s="255">
        <f t="shared" si="5"/>
        <v>0</v>
      </c>
      <c r="I12" s="248">
        <f>'PL4.CHI TIET XA '!U102</f>
        <v>6</v>
      </c>
      <c r="J12" s="248">
        <f t="shared" si="1"/>
        <v>599.2250464972102</v>
      </c>
      <c r="K12" s="256">
        <f t="shared" si="6"/>
        <v>3595.350278983261</v>
      </c>
      <c r="L12" s="256">
        <f>'PL4.CHI TIET XA '!U101</f>
        <v>15</v>
      </c>
      <c r="M12" s="256">
        <f t="shared" si="2"/>
        <v>460.94234345939242</v>
      </c>
      <c r="N12" s="256">
        <f t="shared" si="7"/>
        <v>6914.1351518908859</v>
      </c>
      <c r="O12" s="289" t="s">
        <v>494</v>
      </c>
      <c r="P12" s="268">
        <v>3</v>
      </c>
      <c r="R12">
        <v>14814.095001552312</v>
      </c>
      <c r="S12">
        <v>14814</v>
      </c>
    </row>
    <row r="13" spans="1:19" ht="28.5" customHeight="1">
      <c r="A13" s="214">
        <v>7</v>
      </c>
      <c r="B13" s="215" t="s">
        <v>187</v>
      </c>
      <c r="C13" s="248">
        <f t="shared" si="3"/>
        <v>13275.139491630503</v>
      </c>
      <c r="D13" s="248">
        <f t="shared" si="4"/>
        <v>28.8</v>
      </c>
      <c r="E13" s="248">
        <v>27</v>
      </c>
      <c r="F13" s="248">
        <f>'PL4.CHI TIET XA '!U124</f>
        <v>0</v>
      </c>
      <c r="G13" s="248">
        <f t="shared" si="0"/>
        <v>1843.7693738375697</v>
      </c>
      <c r="H13" s="255">
        <f t="shared" si="5"/>
        <v>0</v>
      </c>
      <c r="I13" s="248">
        <f>'PL4.CHI TIET XA '!U125</f>
        <v>6</v>
      </c>
      <c r="J13" s="248">
        <f t="shared" si="1"/>
        <v>599.2250464972102</v>
      </c>
      <c r="K13" s="256">
        <f t="shared" si="6"/>
        <v>3595.350278983261</v>
      </c>
      <c r="L13" s="256">
        <f>'PL4.CHI TIET XA '!U126</f>
        <v>21</v>
      </c>
      <c r="M13" s="256">
        <f t="shared" si="2"/>
        <v>460.94234345939242</v>
      </c>
      <c r="N13" s="256">
        <f t="shared" si="7"/>
        <v>9679.7892126472416</v>
      </c>
      <c r="O13" s="289" t="s">
        <v>493</v>
      </c>
      <c r="P13" s="268">
        <v>2</v>
      </c>
      <c r="R13">
        <v>14612.542688606021</v>
      </c>
      <c r="S13">
        <v>14613</v>
      </c>
    </row>
    <row r="14" spans="1:19" ht="28.5" customHeight="1">
      <c r="A14" s="214">
        <v>8</v>
      </c>
      <c r="B14" s="215" t="s">
        <v>188</v>
      </c>
      <c r="C14" s="248">
        <f t="shared" si="3"/>
        <v>12122.78363298202</v>
      </c>
      <c r="D14" s="248">
        <f t="shared" si="4"/>
        <v>26.3</v>
      </c>
      <c r="E14" s="248">
        <v>17</v>
      </c>
      <c r="F14" s="248">
        <f>'PL4.CHI TIET XA '!U154</f>
        <v>3</v>
      </c>
      <c r="G14" s="248">
        <f t="shared" si="0"/>
        <v>1843.7693738375697</v>
      </c>
      <c r="H14" s="255">
        <f t="shared" si="5"/>
        <v>5531.3081215127095</v>
      </c>
      <c r="I14" s="248">
        <f>'PL4.CHI TIET XA '!U153</f>
        <v>1</v>
      </c>
      <c r="J14" s="248">
        <f t="shared" si="1"/>
        <v>599.2250464972102</v>
      </c>
      <c r="K14" s="256">
        <f t="shared" si="6"/>
        <v>599.2250464972102</v>
      </c>
      <c r="L14" s="256">
        <f>'PL4.CHI TIET XA '!U152</f>
        <v>13</v>
      </c>
      <c r="M14" s="256">
        <f t="shared" si="2"/>
        <v>460.94234345939242</v>
      </c>
      <c r="N14" s="256">
        <f t="shared" si="7"/>
        <v>5992.2504649721013</v>
      </c>
      <c r="O14" s="289"/>
      <c r="P14" s="268"/>
      <c r="R14">
        <v>16779.230052778639</v>
      </c>
      <c r="S14">
        <v>16779</v>
      </c>
    </row>
    <row r="15" spans="1:19" ht="28.5" customHeight="1">
      <c r="A15" s="214">
        <v>9</v>
      </c>
      <c r="B15" s="215" t="s">
        <v>189</v>
      </c>
      <c r="C15" s="248">
        <f t="shared" si="3"/>
        <v>15764.228146311221</v>
      </c>
      <c r="D15" s="248">
        <f>F15*4+I15*1.3+L15*1</f>
        <v>34.200000000000003</v>
      </c>
      <c r="E15" s="248">
        <v>30</v>
      </c>
      <c r="F15" s="248">
        <f>'PL4.CHI TIET XA '!U170</f>
        <v>1</v>
      </c>
      <c r="G15" s="248">
        <f t="shared" si="0"/>
        <v>1843.7693738375697</v>
      </c>
      <c r="H15" s="255">
        <f t="shared" si="5"/>
        <v>1843.7693738375697</v>
      </c>
      <c r="I15" s="248">
        <f>'PL4.CHI TIET XA '!U172</f>
        <v>4</v>
      </c>
      <c r="J15" s="248">
        <f t="shared" si="1"/>
        <v>599.2250464972102</v>
      </c>
      <c r="K15" s="256">
        <f t="shared" si="6"/>
        <v>2396.9001859888408</v>
      </c>
      <c r="L15" s="256">
        <f>'PL4.CHI TIET XA '!U171</f>
        <v>25</v>
      </c>
      <c r="M15" s="256">
        <f t="shared" si="2"/>
        <v>460.94234345939242</v>
      </c>
      <c r="N15" s="256">
        <f t="shared" si="7"/>
        <v>11523.558586484811</v>
      </c>
      <c r="O15" s="289" t="s">
        <v>496</v>
      </c>
      <c r="P15" s="268">
        <v>1</v>
      </c>
      <c r="R15">
        <v>15267.587705681464</v>
      </c>
      <c r="S15">
        <v>15268</v>
      </c>
    </row>
    <row r="16" spans="1:19" ht="28.5" customHeight="1">
      <c r="A16" s="216">
        <v>10</v>
      </c>
      <c r="B16" s="217" t="s">
        <v>190</v>
      </c>
      <c r="C16" s="248">
        <f t="shared" si="3"/>
        <v>13966.553006819591</v>
      </c>
      <c r="D16" s="248">
        <f t="shared" si="4"/>
        <v>30.3</v>
      </c>
      <c r="E16" s="249">
        <v>21</v>
      </c>
      <c r="F16" s="248">
        <f>'PL4.CHI TIET XA '!U202</f>
        <v>3</v>
      </c>
      <c r="G16" s="248">
        <f t="shared" si="0"/>
        <v>1843.7693738375697</v>
      </c>
      <c r="H16" s="255">
        <f t="shared" si="5"/>
        <v>5531.3081215127095</v>
      </c>
      <c r="I16" s="249">
        <f>'PL4.CHI TIET XA '!U201</f>
        <v>1</v>
      </c>
      <c r="J16" s="248">
        <f t="shared" si="1"/>
        <v>599.2250464972102</v>
      </c>
      <c r="K16" s="256">
        <f t="shared" si="6"/>
        <v>599.2250464972102</v>
      </c>
      <c r="L16" s="256">
        <f>'PL4.CHI TIET XA '!U203</f>
        <v>17</v>
      </c>
      <c r="M16" s="256">
        <f t="shared" si="2"/>
        <v>460.94234345939242</v>
      </c>
      <c r="N16" s="256">
        <f t="shared" si="7"/>
        <v>7836.0198388096715</v>
      </c>
      <c r="O16" s="289" t="s">
        <v>387</v>
      </c>
      <c r="P16" s="268">
        <v>1</v>
      </c>
      <c r="R16">
        <v>503.88078236572488</v>
      </c>
      <c r="S16">
        <v>504</v>
      </c>
    </row>
    <row r="17" spans="1:19" ht="28.5" customHeight="1">
      <c r="A17" s="216">
        <v>11</v>
      </c>
      <c r="B17" s="217" t="s">
        <v>404</v>
      </c>
      <c r="C17" s="248">
        <f t="shared" si="3"/>
        <v>460.94234345939242</v>
      </c>
      <c r="D17" s="248">
        <f t="shared" si="4"/>
        <v>1</v>
      </c>
      <c r="E17" s="249">
        <v>1</v>
      </c>
      <c r="F17" s="248">
        <f>'PL4.CHI TIET XA '!U224</f>
        <v>0</v>
      </c>
      <c r="G17" s="248">
        <f t="shared" si="0"/>
        <v>1843.7693738375697</v>
      </c>
      <c r="H17" s="255">
        <f t="shared" si="5"/>
        <v>0</v>
      </c>
      <c r="I17" s="249">
        <f>'PL4.CHI TIET XA '!U223</f>
        <v>0</v>
      </c>
      <c r="J17" s="248">
        <f t="shared" si="1"/>
        <v>599.2250464972102</v>
      </c>
      <c r="K17" s="256">
        <f t="shared" si="6"/>
        <v>0</v>
      </c>
      <c r="L17" s="256">
        <f>'PL4.CHI TIET XA '!U222</f>
        <v>1</v>
      </c>
      <c r="M17" s="256">
        <f t="shared" si="2"/>
        <v>460.94234345939242</v>
      </c>
      <c r="N17" s="256">
        <f t="shared" si="7"/>
        <v>460.94234345939242</v>
      </c>
      <c r="O17" s="289"/>
      <c r="P17" s="268"/>
      <c r="R17">
        <v>7356.6594225395829</v>
      </c>
      <c r="S17">
        <v>7357</v>
      </c>
    </row>
    <row r="18" spans="1:19" ht="28.5" customHeight="1">
      <c r="A18" s="216">
        <v>12</v>
      </c>
      <c r="B18" s="217" t="s">
        <v>191</v>
      </c>
      <c r="C18" s="248">
        <f t="shared" si="3"/>
        <v>6591.4755114693126</v>
      </c>
      <c r="D18" s="248">
        <f t="shared" si="4"/>
        <v>14.3</v>
      </c>
      <c r="E18" s="249">
        <v>11</v>
      </c>
      <c r="F18" s="248">
        <f>'PL4.CHI TIET XA '!U227</f>
        <v>1</v>
      </c>
      <c r="G18" s="248">
        <f t="shared" si="0"/>
        <v>1843.7693738375697</v>
      </c>
      <c r="H18" s="255">
        <f t="shared" si="5"/>
        <v>1843.7693738375697</v>
      </c>
      <c r="I18" s="249">
        <f>'PL4.CHI TIET XA '!U228</f>
        <v>1</v>
      </c>
      <c r="J18" s="248">
        <f t="shared" si="1"/>
        <v>599.2250464972102</v>
      </c>
      <c r="K18" s="256">
        <f t="shared" si="6"/>
        <v>599.2250464972102</v>
      </c>
      <c r="L18" s="256">
        <f>'PL4.CHI TIET XA '!U226</f>
        <v>9</v>
      </c>
      <c r="M18" s="256">
        <f t="shared" si="2"/>
        <v>460.94234345939242</v>
      </c>
      <c r="N18" s="256">
        <f t="shared" si="7"/>
        <v>4148.4810911345321</v>
      </c>
      <c r="O18" s="289"/>
      <c r="P18" s="268"/>
      <c r="R18">
        <v>11085.377212045947</v>
      </c>
      <c r="S18">
        <v>11085</v>
      </c>
    </row>
    <row r="19" spans="1:19" ht="28.5" customHeight="1">
      <c r="A19" s="218">
        <v>13</v>
      </c>
      <c r="B19" s="219" t="s">
        <v>192</v>
      </c>
      <c r="C19" s="248">
        <f t="shared" si="3"/>
        <v>10140.731556106633</v>
      </c>
      <c r="D19" s="248">
        <f t="shared" si="4"/>
        <v>22</v>
      </c>
      <c r="E19" s="250">
        <v>13</v>
      </c>
      <c r="F19" s="248">
        <f>'PL4.CHI TIET XA '!U239</f>
        <v>3</v>
      </c>
      <c r="G19" s="248">
        <f t="shared" si="0"/>
        <v>1843.7693738375697</v>
      </c>
      <c r="H19" s="255">
        <f t="shared" si="5"/>
        <v>5531.3081215127095</v>
      </c>
      <c r="I19" s="250">
        <f>'PL4.CHI TIET XA '!U238</f>
        <v>0</v>
      </c>
      <c r="J19" s="248">
        <f t="shared" si="1"/>
        <v>599.2250464972102</v>
      </c>
      <c r="K19" s="256">
        <f t="shared" si="6"/>
        <v>0</v>
      </c>
      <c r="L19" s="256">
        <f>'PL4.CHI TIET XA '!U240</f>
        <v>10</v>
      </c>
      <c r="M19" s="256">
        <f t="shared" si="2"/>
        <v>460.94234345939242</v>
      </c>
      <c r="N19" s="256">
        <f t="shared" si="7"/>
        <v>4609.423434593924</v>
      </c>
      <c r="O19" s="289" t="s">
        <v>495</v>
      </c>
      <c r="P19" s="268">
        <v>2</v>
      </c>
      <c r="S19">
        <f>SUM(S6:S18)</f>
        <v>162301</v>
      </c>
    </row>
    <row r="20" spans="1:19" ht="28.5" customHeight="1">
      <c r="A20" s="220"/>
      <c r="B20" s="221" t="s">
        <v>151</v>
      </c>
      <c r="C20" s="254">
        <f>SUM(C7:C19)</f>
        <v>148700</v>
      </c>
      <c r="D20" s="254">
        <f>SUM(D7:D19)</f>
        <v>322.60000000000002</v>
      </c>
      <c r="E20" s="254">
        <f>SUM(E7:E19)</f>
        <v>229</v>
      </c>
      <c r="F20" s="254">
        <f>SUM(F7:F19)</f>
        <v>28</v>
      </c>
      <c r="G20" s="221"/>
      <c r="H20" s="254">
        <f>SUM(H7:H19)</f>
        <v>51625.542467451945</v>
      </c>
      <c r="I20" s="254">
        <f>SUM(I7:I19)</f>
        <v>32</v>
      </c>
      <c r="J20" s="221"/>
      <c r="K20" s="254">
        <f>SUM(K7:K19)</f>
        <v>19175.201487910723</v>
      </c>
      <c r="L20" s="254">
        <f>SUM(L7:L19)</f>
        <v>169</v>
      </c>
      <c r="M20" s="221"/>
      <c r="N20" s="254">
        <f>SUM(N7:N19)</f>
        <v>77899.25604463731</v>
      </c>
      <c r="O20" s="254"/>
      <c r="P20" s="267">
        <f>SUM(P7:P19)</f>
        <v>14</v>
      </c>
      <c r="R20">
        <f>SUM(R6:R19)</f>
        <v>162299.99999999997</v>
      </c>
    </row>
    <row r="21" spans="1:19" ht="18.75">
      <c r="A21" s="435" t="s">
        <v>484</v>
      </c>
      <c r="B21" s="436"/>
      <c r="C21" s="211"/>
      <c r="D21" s="211"/>
      <c r="E21" s="211"/>
      <c r="F21" s="211"/>
      <c r="G21" s="211"/>
      <c r="H21" s="211"/>
      <c r="I21" s="211"/>
      <c r="J21" s="211"/>
      <c r="K21" s="211"/>
      <c r="L21" s="211"/>
      <c r="M21" s="211"/>
      <c r="N21" s="211"/>
      <c r="O21" s="211"/>
      <c r="P21" s="211"/>
    </row>
    <row r="22" spans="1:19" ht="60" customHeight="1">
      <c r="A22" s="273" t="s">
        <v>485</v>
      </c>
      <c r="B22" s="440" t="s">
        <v>535</v>
      </c>
      <c r="C22" s="440"/>
      <c r="D22" s="440"/>
      <c r="E22" s="440"/>
      <c r="F22" s="440"/>
      <c r="G22" s="440"/>
      <c r="H22" s="440"/>
      <c r="I22" s="440"/>
      <c r="J22" s="440"/>
      <c r="K22" s="440"/>
      <c r="L22" s="440"/>
      <c r="M22" s="440"/>
      <c r="N22" s="440"/>
      <c r="O22" s="440"/>
      <c r="P22" s="211"/>
    </row>
    <row r="23" spans="1:19" ht="155.25" customHeight="1">
      <c r="A23" s="273" t="s">
        <v>486</v>
      </c>
      <c r="B23" s="441" t="s">
        <v>648</v>
      </c>
      <c r="C23" s="441"/>
      <c r="D23" s="441"/>
      <c r="E23" s="441"/>
      <c r="F23" s="441"/>
      <c r="G23" s="441"/>
      <c r="H23" s="441"/>
      <c r="I23" s="441"/>
      <c r="J23" s="441"/>
      <c r="K23" s="441"/>
      <c r="L23" s="441"/>
      <c r="M23" s="441"/>
      <c r="N23" s="441"/>
      <c r="O23" s="441"/>
      <c r="P23" s="211"/>
    </row>
    <row r="24" spans="1:19" s="300" customFormat="1" ht="24" customHeight="1">
      <c r="A24" s="298" t="s">
        <v>487</v>
      </c>
      <c r="B24" s="432" t="s">
        <v>647</v>
      </c>
      <c r="C24" s="432"/>
      <c r="D24" s="432"/>
      <c r="E24" s="432"/>
      <c r="F24" s="432"/>
      <c r="G24" s="432"/>
      <c r="H24" s="432"/>
      <c r="I24" s="432"/>
      <c r="J24" s="432"/>
      <c r="K24" s="432"/>
      <c r="L24" s="432"/>
      <c r="M24" s="432"/>
      <c r="N24" s="432"/>
      <c r="O24" s="432"/>
      <c r="P24" s="299"/>
    </row>
    <row r="25" spans="1:19" ht="74.25" customHeight="1">
      <c r="A25" s="273" t="s">
        <v>497</v>
      </c>
      <c r="B25" s="432" t="s">
        <v>512</v>
      </c>
      <c r="C25" s="432"/>
      <c r="D25" s="432"/>
      <c r="E25" s="432"/>
      <c r="F25" s="432"/>
      <c r="G25" s="432"/>
      <c r="H25" s="432"/>
      <c r="I25" s="432"/>
      <c r="J25" s="432"/>
      <c r="K25" s="432"/>
      <c r="L25" s="432"/>
      <c r="M25" s="432"/>
      <c r="N25" s="432"/>
      <c r="O25" s="432"/>
      <c r="P25" s="211"/>
    </row>
    <row r="26" spans="1:19" ht="18.75">
      <c r="A26" s="211"/>
      <c r="B26" s="211"/>
      <c r="C26" s="211"/>
      <c r="D26" s="211"/>
      <c r="E26" s="211"/>
      <c r="F26" s="211"/>
      <c r="G26" s="211"/>
      <c r="H26" s="211"/>
      <c r="I26" s="211"/>
      <c r="J26" s="211"/>
      <c r="K26" s="211"/>
      <c r="L26" s="211"/>
      <c r="M26" s="211"/>
      <c r="N26" s="211"/>
      <c r="O26" s="211"/>
      <c r="P26" s="211"/>
    </row>
    <row r="27" spans="1:19" ht="19.5">
      <c r="A27" s="251"/>
      <c r="B27" s="252"/>
      <c r="C27" s="252"/>
      <c r="D27" s="252"/>
      <c r="E27" s="252"/>
      <c r="F27" s="252"/>
      <c r="G27" s="252"/>
      <c r="H27" s="252"/>
      <c r="I27" s="252"/>
      <c r="J27" s="252"/>
      <c r="K27" s="252"/>
      <c r="L27" s="252"/>
      <c r="M27" s="252"/>
      <c r="N27" s="430" t="s">
        <v>649</v>
      </c>
      <c r="O27" s="430"/>
      <c r="P27" s="252"/>
    </row>
    <row r="28" spans="1:19" ht="18.75">
      <c r="A28" s="211"/>
      <c r="B28" s="211"/>
      <c r="C28" s="211"/>
      <c r="D28" s="211"/>
      <c r="E28" s="211"/>
      <c r="F28" s="211"/>
      <c r="G28" s="211"/>
      <c r="H28" s="211"/>
      <c r="I28" s="211"/>
      <c r="J28" s="211"/>
      <c r="K28" s="211"/>
      <c r="L28" s="211"/>
      <c r="M28" s="211"/>
      <c r="N28" s="222"/>
      <c r="O28" s="211"/>
      <c r="P28" s="211"/>
    </row>
  </sheetData>
  <mergeCells count="19">
    <mergeCell ref="A1:O1"/>
    <mergeCell ref="A2:O2"/>
    <mergeCell ref="A5:A6"/>
    <mergeCell ref="B5:B6"/>
    <mergeCell ref="C5:C6"/>
    <mergeCell ref="D5:D6"/>
    <mergeCell ref="E5:E6"/>
    <mergeCell ref="F5:H5"/>
    <mergeCell ref="N27:O27"/>
    <mergeCell ref="N4:O4"/>
    <mergeCell ref="B25:O25"/>
    <mergeCell ref="A3:O3"/>
    <mergeCell ref="B24:O24"/>
    <mergeCell ref="A21:B21"/>
    <mergeCell ref="I5:K5"/>
    <mergeCell ref="L5:N5"/>
    <mergeCell ref="O5:O6"/>
    <mergeCell ref="B22:O22"/>
    <mergeCell ref="B23:O23"/>
  </mergeCells>
  <printOptions horizontalCentered="1"/>
  <pageMargins left="0" right="0" top="0.5" bottom="0.5" header="0.3" footer="0.3"/>
  <pageSetup paperSize="9" scale="75" orientation="landscape"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view="pageBreakPreview" zoomScale="130" zoomScaleNormal="100" zoomScaleSheetLayoutView="130" workbookViewId="0">
      <selection activeCell="D9" sqref="D9"/>
    </sheetView>
  </sheetViews>
  <sheetFormatPr defaultRowHeight="18.75"/>
  <cols>
    <col min="1" max="1" width="5.7109375" style="346" customWidth="1"/>
    <col min="2" max="2" width="30.28515625" style="347" customWidth="1"/>
    <col min="3" max="3" width="13.85546875" style="211" customWidth="1"/>
    <col min="4" max="4" width="14.42578125" style="211" customWidth="1"/>
    <col min="5" max="5" width="13.140625" style="211" customWidth="1"/>
    <col min="6" max="6" width="14.28515625" style="211" customWidth="1"/>
    <col min="7" max="7" width="18.28515625" style="211" customWidth="1"/>
    <col min="8" max="8" width="27.28515625" style="211" customWidth="1"/>
    <col min="9" max="16384" width="9.140625" style="211"/>
  </cols>
  <sheetData>
    <row r="1" spans="1:16" s="343" customFormat="1">
      <c r="A1" s="442" t="s">
        <v>609</v>
      </c>
      <c r="B1" s="442"/>
      <c r="C1" s="442"/>
      <c r="D1" s="442"/>
      <c r="E1" s="442"/>
      <c r="F1" s="442"/>
      <c r="G1" s="442"/>
      <c r="H1" s="442"/>
    </row>
    <row r="2" spans="1:16" s="343" customFormat="1" ht="40.5" customHeight="1">
      <c r="A2" s="443" t="s">
        <v>610</v>
      </c>
      <c r="B2" s="443"/>
      <c r="C2" s="443"/>
      <c r="D2" s="443"/>
      <c r="E2" s="443"/>
      <c r="F2" s="443"/>
      <c r="G2" s="443"/>
      <c r="H2" s="443"/>
    </row>
    <row r="3" spans="1:16" s="343" customFormat="1">
      <c r="A3" s="444" t="s">
        <v>655</v>
      </c>
      <c r="B3" s="444"/>
      <c r="C3" s="444"/>
      <c r="D3" s="444"/>
      <c r="E3" s="444"/>
      <c r="F3" s="444"/>
      <c r="G3" s="444"/>
      <c r="H3" s="444"/>
    </row>
    <row r="4" spans="1:16" s="343" customFormat="1" ht="22.5" customHeight="1">
      <c r="A4" s="344"/>
      <c r="B4" s="344"/>
      <c r="G4" s="431" t="s">
        <v>650</v>
      </c>
      <c r="H4" s="431"/>
    </row>
    <row r="5" spans="1:16" s="343" customFormat="1" ht="23.25" customHeight="1">
      <c r="A5" s="445" t="s">
        <v>148</v>
      </c>
      <c r="B5" s="445" t="s">
        <v>168</v>
      </c>
      <c r="C5" s="445" t="s">
        <v>589</v>
      </c>
      <c r="D5" s="445"/>
      <c r="E5" s="445"/>
      <c r="F5" s="445" t="s">
        <v>154</v>
      </c>
      <c r="G5" s="445" t="s">
        <v>590</v>
      </c>
      <c r="H5" s="445" t="s">
        <v>608</v>
      </c>
    </row>
    <row r="6" spans="1:16" s="343" customFormat="1" ht="49.5">
      <c r="A6" s="445"/>
      <c r="B6" s="445"/>
      <c r="C6" s="353" t="s">
        <v>591</v>
      </c>
      <c r="D6" s="353" t="s">
        <v>612</v>
      </c>
      <c r="E6" s="353" t="s">
        <v>4</v>
      </c>
      <c r="F6" s="445"/>
      <c r="G6" s="445"/>
      <c r="H6" s="445"/>
    </row>
    <row r="7" spans="1:16" s="343" customFormat="1" ht="21" customHeight="1">
      <c r="A7" s="354">
        <v>1</v>
      </c>
      <c r="B7" s="354" t="s">
        <v>183</v>
      </c>
      <c r="C7" s="355">
        <v>21</v>
      </c>
      <c r="D7" s="355">
        <v>1</v>
      </c>
      <c r="E7" s="355">
        <f t="shared" ref="E7:E19" si="0">C7-D7</f>
        <v>20</v>
      </c>
      <c r="F7" s="355">
        <f>G7+H7</f>
        <v>2515</v>
      </c>
      <c r="G7" s="355">
        <f>C7*15</f>
        <v>315</v>
      </c>
      <c r="H7" s="355">
        <f>D7*200+E7*100</f>
        <v>2200</v>
      </c>
    </row>
    <row r="8" spans="1:16" s="343" customFormat="1" ht="21" customHeight="1">
      <c r="A8" s="354">
        <f>A7+1</f>
        <v>2</v>
      </c>
      <c r="B8" s="354" t="s">
        <v>592</v>
      </c>
      <c r="C8" s="355">
        <v>6</v>
      </c>
      <c r="D8" s="355">
        <v>1</v>
      </c>
      <c r="E8" s="355">
        <f t="shared" si="0"/>
        <v>5</v>
      </c>
      <c r="F8" s="355">
        <f>G8+H8</f>
        <v>790</v>
      </c>
      <c r="G8" s="355">
        <f t="shared" ref="G8:G16" si="1">C8*15</f>
        <v>90</v>
      </c>
      <c r="H8" s="355">
        <f>D8*200+E8*100</f>
        <v>700</v>
      </c>
    </row>
    <row r="9" spans="1:16" s="343" customFormat="1" ht="21" customHeight="1">
      <c r="A9" s="354">
        <f t="shared" ref="A9:A19" si="2">A8+1</f>
        <v>3</v>
      </c>
      <c r="B9" s="354" t="s">
        <v>184</v>
      </c>
      <c r="C9" s="355">
        <v>25</v>
      </c>
      <c r="D9" s="355">
        <v>2</v>
      </c>
      <c r="E9" s="355">
        <f t="shared" si="0"/>
        <v>23</v>
      </c>
      <c r="F9" s="355">
        <f t="shared" ref="F9:F19" si="3">G9+H9</f>
        <v>3075</v>
      </c>
      <c r="G9" s="355">
        <f t="shared" si="1"/>
        <v>375</v>
      </c>
      <c r="H9" s="355">
        <f t="shared" ref="H9:H19" si="4">D9*200+E9*100</f>
        <v>2700</v>
      </c>
    </row>
    <row r="10" spans="1:16" s="343" customFormat="1" ht="21" customHeight="1">
      <c r="A10" s="354">
        <f t="shared" si="2"/>
        <v>4</v>
      </c>
      <c r="B10" s="354" t="s">
        <v>593</v>
      </c>
      <c r="C10" s="355">
        <v>6</v>
      </c>
      <c r="D10" s="355">
        <v>1</v>
      </c>
      <c r="E10" s="355">
        <f t="shared" si="0"/>
        <v>5</v>
      </c>
      <c r="F10" s="355">
        <f t="shared" si="3"/>
        <v>790</v>
      </c>
      <c r="G10" s="355">
        <f t="shared" si="1"/>
        <v>90</v>
      </c>
      <c r="H10" s="355">
        <f t="shared" si="4"/>
        <v>700</v>
      </c>
    </row>
    <row r="11" spans="1:16" s="343" customFormat="1" ht="21" customHeight="1">
      <c r="A11" s="354">
        <f t="shared" si="2"/>
        <v>5</v>
      </c>
      <c r="B11" s="354" t="s">
        <v>185</v>
      </c>
      <c r="C11" s="355">
        <v>30</v>
      </c>
      <c r="D11" s="355">
        <v>2</v>
      </c>
      <c r="E11" s="355">
        <f t="shared" si="0"/>
        <v>28</v>
      </c>
      <c r="F11" s="355">
        <f t="shared" si="3"/>
        <v>3650</v>
      </c>
      <c r="G11" s="355">
        <f t="shared" si="1"/>
        <v>450</v>
      </c>
      <c r="H11" s="355">
        <f t="shared" si="4"/>
        <v>3200</v>
      </c>
    </row>
    <row r="12" spans="1:16" s="343" customFormat="1" ht="21" customHeight="1">
      <c r="A12" s="354">
        <f t="shared" si="2"/>
        <v>6</v>
      </c>
      <c r="B12" s="354" t="s">
        <v>594</v>
      </c>
      <c r="C12" s="355">
        <v>22</v>
      </c>
      <c r="D12" s="355">
        <v>2</v>
      </c>
      <c r="E12" s="355">
        <f t="shared" si="0"/>
        <v>20</v>
      </c>
      <c r="F12" s="355">
        <f t="shared" si="3"/>
        <v>2730</v>
      </c>
      <c r="G12" s="355">
        <f t="shared" si="1"/>
        <v>330</v>
      </c>
      <c r="H12" s="355">
        <f t="shared" si="4"/>
        <v>2400</v>
      </c>
    </row>
    <row r="13" spans="1:16" s="343" customFormat="1" ht="21" customHeight="1">
      <c r="A13" s="354">
        <f t="shared" si="2"/>
        <v>7</v>
      </c>
      <c r="B13" s="354" t="s">
        <v>187</v>
      </c>
      <c r="C13" s="355">
        <v>27</v>
      </c>
      <c r="D13" s="355">
        <v>7</v>
      </c>
      <c r="E13" s="355">
        <f t="shared" si="0"/>
        <v>20</v>
      </c>
      <c r="F13" s="355">
        <f t="shared" si="3"/>
        <v>3805</v>
      </c>
      <c r="G13" s="355">
        <f t="shared" si="1"/>
        <v>405</v>
      </c>
      <c r="H13" s="355">
        <f t="shared" si="4"/>
        <v>3400</v>
      </c>
      <c r="P13" s="343">
        <v>55</v>
      </c>
    </row>
    <row r="14" spans="1:16" s="343" customFormat="1" ht="21" customHeight="1">
      <c r="A14" s="354">
        <f t="shared" si="2"/>
        <v>8</v>
      </c>
      <c r="B14" s="354" t="s">
        <v>188</v>
      </c>
      <c r="C14" s="355">
        <v>17</v>
      </c>
      <c r="D14" s="355">
        <v>3</v>
      </c>
      <c r="E14" s="355">
        <f t="shared" si="0"/>
        <v>14</v>
      </c>
      <c r="F14" s="355">
        <f t="shared" si="3"/>
        <v>2255</v>
      </c>
      <c r="G14" s="355">
        <f t="shared" si="1"/>
        <v>255</v>
      </c>
      <c r="H14" s="355">
        <f t="shared" si="4"/>
        <v>2000</v>
      </c>
      <c r="P14" s="343">
        <v>88</v>
      </c>
    </row>
    <row r="15" spans="1:16" s="343" customFormat="1" ht="21" customHeight="1">
      <c r="A15" s="354">
        <f t="shared" si="2"/>
        <v>9</v>
      </c>
      <c r="B15" s="354" t="s">
        <v>189</v>
      </c>
      <c r="C15" s="355">
        <v>30</v>
      </c>
      <c r="D15" s="355">
        <v>1</v>
      </c>
      <c r="E15" s="355">
        <f t="shared" si="0"/>
        <v>29</v>
      </c>
      <c r="F15" s="355">
        <f t="shared" si="3"/>
        <v>3550</v>
      </c>
      <c r="G15" s="355">
        <f t="shared" si="1"/>
        <v>450</v>
      </c>
      <c r="H15" s="355">
        <f t="shared" si="4"/>
        <v>3100</v>
      </c>
      <c r="P15" s="343">
        <f>P13+P14</f>
        <v>143</v>
      </c>
    </row>
    <row r="16" spans="1:16" s="343" customFormat="1" ht="21" customHeight="1">
      <c r="A16" s="354">
        <f t="shared" si="2"/>
        <v>10</v>
      </c>
      <c r="B16" s="354" t="s">
        <v>190</v>
      </c>
      <c r="C16" s="355">
        <v>21</v>
      </c>
      <c r="D16" s="355">
        <v>1</v>
      </c>
      <c r="E16" s="355">
        <f t="shared" si="0"/>
        <v>20</v>
      </c>
      <c r="F16" s="355">
        <f t="shared" si="3"/>
        <v>2515</v>
      </c>
      <c r="G16" s="355">
        <f t="shared" si="1"/>
        <v>315</v>
      </c>
      <c r="H16" s="355">
        <f t="shared" si="4"/>
        <v>2200</v>
      </c>
      <c r="P16" s="343">
        <v>21450</v>
      </c>
    </row>
    <row r="17" spans="1:17" s="343" customFormat="1" ht="21" customHeight="1">
      <c r="A17" s="354">
        <f t="shared" si="2"/>
        <v>11</v>
      </c>
      <c r="B17" s="354" t="s">
        <v>595</v>
      </c>
      <c r="C17" s="355">
        <v>1</v>
      </c>
      <c r="D17" s="355"/>
      <c r="E17" s="355">
        <f t="shared" si="0"/>
        <v>1</v>
      </c>
      <c r="F17" s="355">
        <f t="shared" si="3"/>
        <v>150</v>
      </c>
      <c r="G17" s="356">
        <f>C17*15+35</f>
        <v>50</v>
      </c>
      <c r="H17" s="355">
        <f t="shared" si="4"/>
        <v>100</v>
      </c>
      <c r="P17" s="343">
        <f>P16/P15</f>
        <v>150</v>
      </c>
    </row>
    <row r="18" spans="1:17" s="343" customFormat="1" ht="21" customHeight="1">
      <c r="A18" s="354">
        <f t="shared" si="2"/>
        <v>12</v>
      </c>
      <c r="B18" s="354" t="s">
        <v>191</v>
      </c>
      <c r="C18" s="355">
        <v>11</v>
      </c>
      <c r="D18" s="355">
        <v>1</v>
      </c>
      <c r="E18" s="355">
        <f t="shared" si="0"/>
        <v>10</v>
      </c>
      <c r="F18" s="355">
        <f t="shared" si="3"/>
        <v>1365</v>
      </c>
      <c r="G18" s="355">
        <f>C18*15</f>
        <v>165</v>
      </c>
      <c r="H18" s="355">
        <f t="shared" si="4"/>
        <v>1200</v>
      </c>
      <c r="Q18" s="343">
        <f>130*12</f>
        <v>1560</v>
      </c>
    </row>
    <row r="19" spans="1:17" s="343" customFormat="1" ht="21" customHeight="1">
      <c r="A19" s="354">
        <f t="shared" si="2"/>
        <v>13</v>
      </c>
      <c r="B19" s="354" t="s">
        <v>192</v>
      </c>
      <c r="C19" s="355">
        <v>13</v>
      </c>
      <c r="D19" s="355">
        <v>1</v>
      </c>
      <c r="E19" s="355">
        <f t="shared" si="0"/>
        <v>12</v>
      </c>
      <c r="F19" s="355">
        <f t="shared" si="3"/>
        <v>1595</v>
      </c>
      <c r="G19" s="355">
        <f>C19*15</f>
        <v>195</v>
      </c>
      <c r="H19" s="355">
        <f t="shared" si="4"/>
        <v>1400</v>
      </c>
    </row>
    <row r="20" spans="1:17" s="345" customFormat="1" ht="22.5" customHeight="1">
      <c r="A20" s="357"/>
      <c r="B20" s="357" t="s">
        <v>596</v>
      </c>
      <c r="C20" s="358">
        <f t="shared" ref="C20:H20" si="5">SUM(C7:C19)</f>
        <v>230</v>
      </c>
      <c r="D20" s="358">
        <f>SUM(D7:D19)</f>
        <v>23</v>
      </c>
      <c r="E20" s="358">
        <f t="shared" si="5"/>
        <v>207</v>
      </c>
      <c r="F20" s="358">
        <f t="shared" si="5"/>
        <v>28785</v>
      </c>
      <c r="G20" s="358">
        <f t="shared" si="5"/>
        <v>3485</v>
      </c>
      <c r="H20" s="358">
        <f t="shared" si="5"/>
        <v>25300</v>
      </c>
    </row>
    <row r="21" spans="1:17" s="343" customFormat="1" ht="22.5" customHeight="1">
      <c r="A21" s="344"/>
      <c r="B21" s="344"/>
    </row>
    <row r="22" spans="1:17" s="343" customFormat="1" ht="22.5" customHeight="1">
      <c r="A22" s="344"/>
      <c r="B22" s="344"/>
      <c r="G22" s="351" t="s">
        <v>649</v>
      </c>
    </row>
    <row r="23" spans="1:17" s="343" customFormat="1" ht="22.5" customHeight="1">
      <c r="A23" s="344"/>
      <c r="B23" s="344"/>
    </row>
    <row r="24" spans="1:17" s="343" customFormat="1" ht="22.5" customHeight="1">
      <c r="A24" s="344"/>
      <c r="B24" s="344"/>
    </row>
    <row r="25" spans="1:17" s="343" customFormat="1" ht="22.5" customHeight="1">
      <c r="A25" s="344"/>
      <c r="B25" s="344"/>
    </row>
    <row r="26" spans="1:17" s="343" customFormat="1" ht="22.5" customHeight="1">
      <c r="A26" s="344"/>
      <c r="B26" s="344"/>
      <c r="G26" s="374">
        <v>86344688000</v>
      </c>
    </row>
    <row r="27" spans="1:17" s="343" customFormat="1" ht="22.5" customHeight="1">
      <c r="A27" s="344"/>
      <c r="B27" s="344"/>
      <c r="G27" s="374">
        <v>1609151000</v>
      </c>
    </row>
    <row r="28" spans="1:17" s="343" customFormat="1" ht="22.5" customHeight="1">
      <c r="A28" s="344"/>
      <c r="B28" s="344"/>
      <c r="G28" s="374">
        <v>6454847000</v>
      </c>
    </row>
    <row r="29" spans="1:17" s="343" customFormat="1" ht="22.5" customHeight="1">
      <c r="A29" s="344"/>
      <c r="B29" s="344"/>
      <c r="G29" s="374">
        <v>5892286000</v>
      </c>
    </row>
    <row r="30" spans="1:17" s="343" customFormat="1" ht="22.5" customHeight="1">
      <c r="A30" s="344"/>
      <c r="B30" s="344"/>
      <c r="G30" s="374"/>
    </row>
    <row r="31" spans="1:17" s="343" customFormat="1" ht="22.5" customHeight="1">
      <c r="A31" s="344"/>
      <c r="B31" s="344"/>
      <c r="G31" s="374">
        <v>10990150000</v>
      </c>
    </row>
    <row r="32" spans="1:17" s="343" customFormat="1" ht="22.5" customHeight="1">
      <c r="A32" s="344"/>
      <c r="B32" s="344"/>
      <c r="D32" s="343">
        <f>'[1]Phu luc 2'!G20</f>
        <v>3485</v>
      </c>
      <c r="E32" s="343" t="s">
        <v>597</v>
      </c>
    </row>
    <row r="33" spans="1:4" s="343" customFormat="1" ht="22.5" customHeight="1">
      <c r="A33" s="344"/>
      <c r="B33" s="344"/>
    </row>
    <row r="34" spans="1:4" s="343" customFormat="1" ht="22.5" customHeight="1">
      <c r="A34" s="344"/>
      <c r="B34" s="344"/>
    </row>
    <row r="35" spans="1:4" s="343" customFormat="1" ht="22.5" customHeight="1">
      <c r="A35" s="344"/>
      <c r="B35" s="344"/>
      <c r="D35" s="343">
        <f>'[1]Phu luc 2'!H20</f>
        <v>25300</v>
      </c>
    </row>
    <row r="36" spans="1:4" s="343" customFormat="1" ht="22.5" customHeight="1">
      <c r="A36" s="344"/>
      <c r="B36" s="344"/>
    </row>
    <row r="37" spans="1:4" s="343" customFormat="1" ht="22.5" customHeight="1">
      <c r="A37" s="344"/>
      <c r="B37" s="344"/>
    </row>
    <row r="38" spans="1:4" s="343" customFormat="1" ht="22.5" customHeight="1">
      <c r="A38" s="344"/>
      <c r="B38" s="344"/>
    </row>
    <row r="39" spans="1:4" s="343" customFormat="1" ht="22.5" customHeight="1">
      <c r="A39" s="344"/>
      <c r="B39" s="344"/>
    </row>
    <row r="40" spans="1:4" s="343" customFormat="1" ht="22.5" customHeight="1">
      <c r="A40" s="344"/>
      <c r="B40" s="344"/>
    </row>
    <row r="41" spans="1:4" s="343" customFormat="1" ht="22.5" customHeight="1">
      <c r="A41" s="344"/>
      <c r="B41" s="344"/>
    </row>
    <row r="42" spans="1:4" s="343" customFormat="1" ht="22.5" customHeight="1">
      <c r="A42" s="344"/>
      <c r="B42" s="344"/>
      <c r="D42" s="343">
        <f>4900-50-35</f>
        <v>4815</v>
      </c>
    </row>
    <row r="43" spans="1:4" s="343" customFormat="1" ht="22.5" customHeight="1">
      <c r="A43" s="344"/>
      <c r="B43" s="344"/>
    </row>
    <row r="44" spans="1:4" s="343" customFormat="1" ht="22.5" customHeight="1">
      <c r="A44" s="344"/>
      <c r="B44" s="344"/>
    </row>
    <row r="45" spans="1:4" s="343" customFormat="1" ht="22.5" customHeight="1">
      <c r="A45" s="344"/>
      <c r="B45" s="344"/>
    </row>
    <row r="46" spans="1:4" s="343" customFormat="1" ht="22.5" customHeight="1">
      <c r="A46" s="344"/>
      <c r="B46" s="344"/>
    </row>
    <row r="47" spans="1:4" s="343" customFormat="1" ht="22.5" customHeight="1">
      <c r="A47" s="344"/>
      <c r="B47" s="344"/>
    </row>
    <row r="48" spans="1:4" s="343" customFormat="1" ht="22.5" customHeight="1">
      <c r="A48" s="344"/>
      <c r="B48" s="344"/>
    </row>
    <row r="49" spans="1:2" s="343" customFormat="1" ht="22.5" customHeight="1">
      <c r="A49" s="344"/>
      <c r="B49" s="344"/>
    </row>
    <row r="50" spans="1:2" s="343" customFormat="1" ht="22.5" customHeight="1">
      <c r="A50" s="344"/>
      <c r="B50" s="344"/>
    </row>
    <row r="51" spans="1:2" s="343" customFormat="1" ht="22.5" customHeight="1">
      <c r="A51" s="344"/>
      <c r="B51" s="344"/>
    </row>
    <row r="52" spans="1:2" s="343" customFormat="1" ht="22.5" customHeight="1">
      <c r="A52" s="344"/>
      <c r="B52" s="344"/>
    </row>
    <row r="53" spans="1:2" s="343" customFormat="1" ht="22.5" customHeight="1">
      <c r="A53" s="344"/>
      <c r="B53" s="344"/>
    </row>
    <row r="54" spans="1:2" s="343" customFormat="1" ht="22.5" customHeight="1">
      <c r="A54" s="344"/>
      <c r="B54" s="344"/>
    </row>
    <row r="55" spans="1:2" s="343" customFormat="1" ht="22.5" customHeight="1">
      <c r="A55" s="344"/>
      <c r="B55" s="344"/>
    </row>
    <row r="56" spans="1:2" s="343" customFormat="1" ht="22.5" customHeight="1">
      <c r="A56" s="344"/>
      <c r="B56" s="344"/>
    </row>
    <row r="57" spans="1:2" s="343" customFormat="1" ht="22.5" customHeight="1">
      <c r="A57" s="344"/>
      <c r="B57" s="344"/>
    </row>
    <row r="58" spans="1:2" s="343" customFormat="1" ht="22.5" customHeight="1">
      <c r="A58" s="344"/>
      <c r="B58" s="344"/>
    </row>
    <row r="59" spans="1:2" s="343" customFormat="1" ht="22.5" customHeight="1">
      <c r="A59" s="344"/>
      <c r="B59" s="344"/>
    </row>
    <row r="60" spans="1:2" s="343" customFormat="1" ht="22.5" customHeight="1">
      <c r="A60" s="344"/>
      <c r="B60" s="344"/>
    </row>
    <row r="61" spans="1:2" s="343" customFormat="1" ht="22.5" customHeight="1">
      <c r="A61" s="344"/>
      <c r="B61" s="344"/>
    </row>
    <row r="62" spans="1:2" s="343" customFormat="1" ht="22.5" customHeight="1">
      <c r="A62" s="344"/>
      <c r="B62" s="344"/>
    </row>
    <row r="63" spans="1:2" s="343" customFormat="1" ht="22.5" customHeight="1">
      <c r="A63" s="344"/>
      <c r="B63" s="344"/>
    </row>
    <row r="64" spans="1:2" s="343" customFormat="1" ht="22.5" customHeight="1">
      <c r="A64" s="344"/>
      <c r="B64" s="344"/>
    </row>
    <row r="65" spans="1:2" s="343" customFormat="1" ht="22.5" customHeight="1">
      <c r="A65" s="344"/>
      <c r="B65" s="344"/>
    </row>
    <row r="66" spans="1:2" s="343" customFormat="1" ht="22.5" customHeight="1">
      <c r="A66" s="344"/>
      <c r="B66" s="344"/>
    </row>
    <row r="67" spans="1:2" s="343" customFormat="1" ht="22.5" customHeight="1">
      <c r="A67" s="344"/>
      <c r="B67" s="344"/>
    </row>
    <row r="68" spans="1:2" s="343" customFormat="1" ht="22.5" customHeight="1">
      <c r="A68" s="344"/>
      <c r="B68" s="344"/>
    </row>
    <row r="69" spans="1:2" s="343" customFormat="1" ht="22.5" customHeight="1">
      <c r="A69" s="344"/>
      <c r="B69" s="344"/>
    </row>
    <row r="70" spans="1:2" s="343" customFormat="1" ht="22.5" customHeight="1">
      <c r="A70" s="344"/>
      <c r="B70" s="344"/>
    </row>
    <row r="71" spans="1:2" s="343" customFormat="1" ht="22.5" customHeight="1">
      <c r="A71" s="344"/>
      <c r="B71" s="344"/>
    </row>
    <row r="72" spans="1:2" s="343" customFormat="1" ht="22.5" customHeight="1">
      <c r="A72" s="344"/>
      <c r="B72" s="344"/>
    </row>
    <row r="73" spans="1:2" s="343" customFormat="1" ht="22.5" customHeight="1">
      <c r="A73" s="344"/>
      <c r="B73" s="344"/>
    </row>
    <row r="74" spans="1:2" s="343" customFormat="1" ht="22.5" customHeight="1">
      <c r="A74" s="344"/>
      <c r="B74" s="344"/>
    </row>
    <row r="75" spans="1:2" s="343" customFormat="1" ht="22.5" customHeight="1">
      <c r="A75" s="344"/>
      <c r="B75" s="344"/>
    </row>
    <row r="76" spans="1:2" s="343" customFormat="1" ht="22.5" customHeight="1">
      <c r="A76" s="344"/>
      <c r="B76" s="344"/>
    </row>
    <row r="77" spans="1:2" s="343" customFormat="1" ht="22.5" customHeight="1">
      <c r="A77" s="344"/>
      <c r="B77" s="344"/>
    </row>
    <row r="78" spans="1:2" s="343" customFormat="1" ht="22.5" customHeight="1">
      <c r="A78" s="344"/>
      <c r="B78" s="344"/>
    </row>
    <row r="79" spans="1:2" s="343" customFormat="1" ht="22.5" customHeight="1">
      <c r="A79" s="344"/>
      <c r="B79" s="344"/>
    </row>
    <row r="80" spans="1:2" s="343" customFormat="1" ht="22.5" customHeight="1">
      <c r="A80" s="344"/>
      <c r="B80" s="344"/>
    </row>
    <row r="81" spans="1:2" s="343" customFormat="1" ht="22.5" customHeight="1">
      <c r="A81" s="344"/>
      <c r="B81" s="344"/>
    </row>
    <row r="82" spans="1:2" s="343" customFormat="1" ht="22.5" customHeight="1">
      <c r="A82" s="344"/>
      <c r="B82" s="344"/>
    </row>
    <row r="83" spans="1:2" s="343" customFormat="1" ht="22.5" customHeight="1">
      <c r="A83" s="344"/>
      <c r="B83" s="344"/>
    </row>
    <row r="84" spans="1:2" s="343" customFormat="1" ht="22.5" customHeight="1">
      <c r="A84" s="344"/>
      <c r="B84" s="344"/>
    </row>
    <row r="85" spans="1:2" s="343" customFormat="1" ht="22.5" customHeight="1">
      <c r="A85" s="344"/>
      <c r="B85" s="344"/>
    </row>
    <row r="86" spans="1:2" s="343" customFormat="1" ht="22.5" customHeight="1">
      <c r="A86" s="344"/>
      <c r="B86" s="344"/>
    </row>
    <row r="87" spans="1:2" s="343" customFormat="1" ht="22.5" customHeight="1">
      <c r="A87" s="344"/>
      <c r="B87" s="344"/>
    </row>
    <row r="88" spans="1:2" s="343" customFormat="1" ht="22.5" customHeight="1">
      <c r="A88" s="344"/>
      <c r="B88" s="344"/>
    </row>
    <row r="89" spans="1:2" s="343" customFormat="1" ht="22.5" customHeight="1">
      <c r="A89" s="344"/>
      <c r="B89" s="344"/>
    </row>
    <row r="90" spans="1:2" s="343" customFormat="1" ht="22.5" customHeight="1">
      <c r="A90" s="344"/>
      <c r="B90" s="344"/>
    </row>
    <row r="91" spans="1:2" s="343" customFormat="1" ht="22.5" customHeight="1">
      <c r="A91" s="344"/>
      <c r="B91" s="344"/>
    </row>
    <row r="92" spans="1:2" s="343" customFormat="1" ht="22.5" customHeight="1">
      <c r="A92" s="344"/>
      <c r="B92" s="344"/>
    </row>
    <row r="93" spans="1:2" s="343" customFormat="1" ht="22.5" customHeight="1">
      <c r="A93" s="344"/>
      <c r="B93" s="344"/>
    </row>
    <row r="94" spans="1:2" s="343" customFormat="1" ht="22.5" customHeight="1">
      <c r="A94" s="344"/>
      <c r="B94" s="344"/>
    </row>
    <row r="95" spans="1:2" s="343" customFormat="1" ht="22.5" customHeight="1">
      <c r="A95" s="344"/>
      <c r="B95" s="344"/>
    </row>
    <row r="96" spans="1:2" s="343" customFormat="1" ht="22.5" customHeight="1">
      <c r="A96" s="344"/>
      <c r="B96" s="344"/>
    </row>
    <row r="97" spans="1:2" s="343" customFormat="1" ht="22.5" customHeight="1">
      <c r="A97" s="344"/>
      <c r="B97" s="344"/>
    </row>
    <row r="98" spans="1:2" s="343" customFormat="1" ht="22.5" customHeight="1">
      <c r="A98" s="344"/>
      <c r="B98" s="344"/>
    </row>
    <row r="99" spans="1:2" s="343" customFormat="1" ht="22.5" customHeight="1">
      <c r="A99" s="344"/>
      <c r="B99" s="344"/>
    </row>
    <row r="100" spans="1:2" s="343" customFormat="1" ht="22.5" customHeight="1">
      <c r="A100" s="344"/>
      <c r="B100" s="344"/>
    </row>
    <row r="101" spans="1:2" s="343" customFormat="1" ht="22.5" customHeight="1">
      <c r="A101" s="344"/>
      <c r="B101" s="344"/>
    </row>
    <row r="102" spans="1:2" s="343" customFormat="1" ht="22.5" customHeight="1">
      <c r="A102" s="344"/>
      <c r="B102" s="344"/>
    </row>
    <row r="103" spans="1:2" s="343" customFormat="1" ht="22.5" customHeight="1">
      <c r="A103" s="344"/>
      <c r="B103" s="344"/>
    </row>
    <row r="104" spans="1:2" s="343" customFormat="1" ht="22.5" customHeight="1">
      <c r="A104" s="344"/>
      <c r="B104" s="344"/>
    </row>
    <row r="105" spans="1:2" s="343" customFormat="1" ht="22.5" customHeight="1">
      <c r="A105" s="344"/>
      <c r="B105" s="344"/>
    </row>
    <row r="106" spans="1:2" s="343" customFormat="1" ht="22.5" customHeight="1">
      <c r="A106" s="344"/>
      <c r="B106" s="344"/>
    </row>
  </sheetData>
  <mergeCells count="10">
    <mergeCell ref="A1:H1"/>
    <mergeCell ref="A2:H2"/>
    <mergeCell ref="A3:H3"/>
    <mergeCell ref="A5:A6"/>
    <mergeCell ref="B5:B6"/>
    <mergeCell ref="C5:E5"/>
    <mergeCell ref="F5:F6"/>
    <mergeCell ref="G5:G6"/>
    <mergeCell ref="H5:H6"/>
    <mergeCell ref="G4:H4"/>
  </mergeCells>
  <pageMargins left="0.7" right="0.7" top="0.75" bottom="0.75" header="0.3" footer="0.3"/>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W259"/>
  <sheetViews>
    <sheetView view="pageBreakPreview" topLeftCell="A2" zoomScaleNormal="85" zoomScaleSheetLayoutView="100" workbookViewId="0">
      <pane xSplit="2" ySplit="4" topLeftCell="C6" activePane="bottomRight" state="frozen"/>
      <selection activeCell="A2" sqref="A2"/>
      <selection pane="topRight" activeCell="C2" sqref="C2"/>
      <selection pane="bottomLeft" activeCell="A9" sqref="A9"/>
      <selection pane="bottomRight" activeCell="H70" sqref="H70"/>
    </sheetView>
  </sheetViews>
  <sheetFormatPr defaultRowHeight="15.75"/>
  <cols>
    <col min="1" max="1" width="4.140625" style="184" customWidth="1"/>
    <col min="2" max="2" width="18" style="183" customWidth="1"/>
    <col min="3" max="3" width="27.5703125" style="183" customWidth="1"/>
    <col min="4" max="5" width="8.42578125" style="183" customWidth="1"/>
    <col min="6" max="6" width="6" style="183" customWidth="1"/>
    <col min="7" max="7" width="9.140625" style="183" customWidth="1"/>
    <col min="8" max="10" width="9.7109375" style="183" customWidth="1"/>
    <col min="11" max="11" width="10.140625" style="183" customWidth="1"/>
    <col min="12" max="18" width="9.140625" style="183" customWidth="1"/>
    <col min="19" max="19" width="15.5703125" style="183" customWidth="1"/>
    <col min="20" max="20" width="8" style="261" customWidth="1"/>
    <col min="21" max="21" width="10.7109375" style="183" customWidth="1"/>
    <col min="22" max="22" width="31.140625" style="183" customWidth="1"/>
    <col min="23" max="16384" width="9.140625" style="183"/>
  </cols>
  <sheetData>
    <row r="1" spans="1:23" ht="27.75" customHeight="1">
      <c r="A1" s="450" t="s">
        <v>193</v>
      </c>
      <c r="B1" s="450"/>
      <c r="C1" s="450"/>
      <c r="D1" s="294"/>
      <c r="E1" s="294"/>
      <c r="F1" s="294"/>
    </row>
    <row r="2" spans="1:23" ht="53.25" customHeight="1">
      <c r="A2" s="449" t="s">
        <v>523</v>
      </c>
      <c r="B2" s="449"/>
      <c r="C2" s="449"/>
      <c r="D2" s="449"/>
      <c r="E2" s="449"/>
      <c r="F2" s="449"/>
      <c r="G2" s="449"/>
      <c r="H2" s="449"/>
      <c r="I2" s="449"/>
      <c r="J2" s="449"/>
      <c r="K2" s="449"/>
      <c r="L2" s="449"/>
      <c r="M2" s="449"/>
      <c r="N2" s="449"/>
      <c r="O2" s="449"/>
      <c r="P2" s="449"/>
      <c r="Q2" s="449"/>
      <c r="R2" s="449"/>
      <c r="S2" s="449"/>
    </row>
    <row r="3" spans="1:23" ht="57.75" hidden="1" customHeight="1">
      <c r="C3" s="185"/>
      <c r="D3" s="301"/>
      <c r="E3" s="301"/>
      <c r="F3" s="301"/>
    </row>
    <row r="4" spans="1:23" ht="78.75" customHeight="1">
      <c r="A4" s="451" t="s">
        <v>148</v>
      </c>
      <c r="B4" s="451" t="s">
        <v>433</v>
      </c>
      <c r="C4" s="452" t="s">
        <v>167</v>
      </c>
      <c r="D4" s="295"/>
      <c r="E4" s="295"/>
      <c r="F4" s="295"/>
      <c r="G4" s="448" t="s">
        <v>434</v>
      </c>
      <c r="H4" s="448" t="s">
        <v>435</v>
      </c>
      <c r="I4" s="448" t="s">
        <v>504</v>
      </c>
      <c r="J4" s="448" t="s">
        <v>506</v>
      </c>
      <c r="K4" s="448" t="s">
        <v>436</v>
      </c>
      <c r="L4" s="448" t="s">
        <v>437</v>
      </c>
      <c r="M4" s="448" t="s">
        <v>438</v>
      </c>
      <c r="N4" s="448" t="s">
        <v>431</v>
      </c>
      <c r="O4" s="448" t="s">
        <v>441</v>
      </c>
      <c r="P4" s="448" t="s">
        <v>503</v>
      </c>
      <c r="Q4" s="448" t="s">
        <v>432</v>
      </c>
      <c r="R4" s="446" t="s">
        <v>442</v>
      </c>
      <c r="S4" s="448" t="s">
        <v>518</v>
      </c>
      <c r="T4" s="262"/>
      <c r="U4" s="257"/>
    </row>
    <row r="5" spans="1:23" ht="56.25" hidden="1" customHeight="1">
      <c r="A5" s="451"/>
      <c r="B5" s="451"/>
      <c r="C5" s="453"/>
      <c r="D5" s="295" t="s">
        <v>428</v>
      </c>
      <c r="E5" s="295" t="s">
        <v>429</v>
      </c>
      <c r="F5" s="295" t="s">
        <v>430</v>
      </c>
      <c r="G5" s="448"/>
      <c r="H5" s="448"/>
      <c r="I5" s="448"/>
      <c r="J5" s="448"/>
      <c r="K5" s="448"/>
      <c r="L5" s="448"/>
      <c r="M5" s="448"/>
      <c r="N5" s="448"/>
      <c r="O5" s="448"/>
      <c r="P5" s="448"/>
      <c r="Q5" s="448"/>
      <c r="R5" s="447"/>
      <c r="S5" s="448"/>
      <c r="T5" s="263" t="s">
        <v>483</v>
      </c>
      <c r="U5" s="260" t="s">
        <v>482</v>
      </c>
      <c r="V5" s="265" t="s">
        <v>479</v>
      </c>
      <c r="W5" s="183">
        <f>'PL1.Tong hop'!C10</f>
        <v>148700</v>
      </c>
    </row>
    <row r="6" spans="1:23" s="186" customFormat="1" hidden="1">
      <c r="A6" s="187"/>
      <c r="B6" s="187" t="s">
        <v>154</v>
      </c>
      <c r="C6" s="188"/>
      <c r="D6" s="188"/>
      <c r="E6" s="188"/>
      <c r="F6" s="188"/>
      <c r="G6" s="282"/>
      <c r="H6" s="282"/>
      <c r="I6" s="188"/>
      <c r="J6" s="188"/>
      <c r="K6" s="188"/>
      <c r="L6" s="188"/>
      <c r="M6" s="188"/>
      <c r="N6" s="188"/>
      <c r="O6" s="188"/>
      <c r="P6" s="188"/>
      <c r="Q6" s="188"/>
      <c r="R6" s="188">
        <f>SUM(R8:R249)</f>
        <v>322.60000000000019</v>
      </c>
      <c r="S6" s="188">
        <f>+S7+S29+S36+S62+S69+S100+S123+S151+S169+S200+S222+S224+S236</f>
        <v>148699.99999999985</v>
      </c>
      <c r="T6" s="263"/>
      <c r="U6" s="258"/>
      <c r="V6" s="265" t="s">
        <v>440</v>
      </c>
      <c r="W6" s="186">
        <f>W5/R6</f>
        <v>460.94234345939213</v>
      </c>
    </row>
    <row r="7" spans="1:23" s="199" customFormat="1" hidden="1">
      <c r="A7" s="196">
        <v>1</v>
      </c>
      <c r="B7" s="197" t="s">
        <v>183</v>
      </c>
      <c r="C7" s="197"/>
      <c r="D7" s="197"/>
      <c r="E7" s="197"/>
      <c r="F7" s="197"/>
      <c r="G7" s="201"/>
      <c r="H7" s="196"/>
      <c r="I7" s="196"/>
      <c r="J7" s="196"/>
      <c r="K7" s="201"/>
      <c r="L7" s="196"/>
      <c r="M7" s="196"/>
      <c r="N7" s="197"/>
      <c r="O7" s="197"/>
      <c r="P7" s="197"/>
      <c r="Q7" s="197"/>
      <c r="R7" s="197"/>
      <c r="S7" s="197">
        <f>SUM(S8:S28)</f>
        <v>12860.29138251704</v>
      </c>
      <c r="T7" s="264">
        <v>1</v>
      </c>
      <c r="U7" s="183">
        <f>U12+U30+U37+U64+U71+U101+U126+U152+U171+U203+U222+U226+U240</f>
        <v>169</v>
      </c>
    </row>
    <row r="8" spans="1:23" ht="23.25" hidden="1" customHeight="1">
      <c r="A8" s="189">
        <v>1</v>
      </c>
      <c r="B8" s="190" t="s">
        <v>199</v>
      </c>
      <c r="C8" s="189" t="s">
        <v>195</v>
      </c>
      <c r="D8" s="189"/>
      <c r="E8" s="189"/>
      <c r="F8" s="189"/>
      <c r="G8" s="178"/>
      <c r="H8" s="181" t="s">
        <v>427</v>
      </c>
      <c r="I8" s="181" t="s">
        <v>427</v>
      </c>
      <c r="J8" s="181"/>
      <c r="K8" s="179"/>
      <c r="L8" s="178"/>
      <c r="M8" s="178"/>
      <c r="N8" s="190">
        <v>13</v>
      </c>
      <c r="O8" s="190">
        <v>7</v>
      </c>
      <c r="P8" s="190">
        <v>20</v>
      </c>
      <c r="Q8" s="189"/>
      <c r="R8" s="265">
        <v>1</v>
      </c>
      <c r="S8" s="195">
        <f>R8*$V$17</f>
        <v>460.94234345939213</v>
      </c>
    </row>
    <row r="9" spans="1:23">
      <c r="A9" s="189">
        <v>2</v>
      </c>
      <c r="B9" s="190" t="s">
        <v>200</v>
      </c>
      <c r="C9" s="189" t="s">
        <v>505</v>
      </c>
      <c r="D9" s="189"/>
      <c r="E9" s="189"/>
      <c r="F9" s="189"/>
      <c r="G9" s="178"/>
      <c r="H9" s="180"/>
      <c r="I9" s="180" t="s">
        <v>427</v>
      </c>
      <c r="J9" s="180"/>
      <c r="K9" s="179"/>
      <c r="L9" s="178"/>
      <c r="M9" s="178"/>
      <c r="N9" s="190">
        <v>12</v>
      </c>
      <c r="O9" s="190">
        <v>12</v>
      </c>
      <c r="P9" s="190">
        <v>20</v>
      </c>
      <c r="Q9" s="189"/>
      <c r="R9" s="265">
        <v>1.3</v>
      </c>
      <c r="S9" s="195">
        <f>R9*$V$17</f>
        <v>599.22504649720975</v>
      </c>
      <c r="T9" s="264">
        <v>1.3</v>
      </c>
      <c r="U9" s="183">
        <f>COUNTIF(R3:R23, "=1,3")</f>
        <v>3</v>
      </c>
    </row>
    <row r="10" spans="1:23">
      <c r="A10" s="189">
        <v>3</v>
      </c>
      <c r="B10" s="190" t="s">
        <v>207</v>
      </c>
      <c r="C10" s="189" t="s">
        <v>505</v>
      </c>
      <c r="D10" s="189"/>
      <c r="E10" s="189"/>
      <c r="F10" s="189"/>
      <c r="G10" s="178"/>
      <c r="H10" s="180"/>
      <c r="I10" s="180" t="s">
        <v>427</v>
      </c>
      <c r="J10" s="180"/>
      <c r="K10" s="179"/>
      <c r="L10" s="178"/>
      <c r="M10" s="178"/>
      <c r="N10" s="190">
        <v>12</v>
      </c>
      <c r="O10" s="190">
        <v>8</v>
      </c>
      <c r="P10" s="190">
        <v>20</v>
      </c>
      <c r="Q10" s="189" t="s">
        <v>427</v>
      </c>
      <c r="R10" s="265">
        <v>1.3</v>
      </c>
      <c r="S10" s="195">
        <f>R10*$V$17</f>
        <v>599.22504649720975</v>
      </c>
      <c r="T10" s="264">
        <v>4</v>
      </c>
      <c r="U10" s="183">
        <f>COUNTIF(R3:R23, "=4,0")</f>
        <v>1</v>
      </c>
    </row>
    <row r="11" spans="1:23" hidden="1">
      <c r="A11" s="189">
        <v>4</v>
      </c>
      <c r="B11" s="190" t="s">
        <v>196</v>
      </c>
      <c r="C11" s="189" t="s">
        <v>195</v>
      </c>
      <c r="D11" s="189"/>
      <c r="E11" s="189"/>
      <c r="F11" s="189"/>
      <c r="G11" s="178" t="s">
        <v>427</v>
      </c>
      <c r="H11" s="180"/>
      <c r="I11" s="180"/>
      <c r="J11" s="180"/>
      <c r="K11" s="179"/>
      <c r="L11" s="178"/>
      <c r="M11" s="178"/>
      <c r="N11" s="190">
        <v>19</v>
      </c>
      <c r="O11" s="190">
        <v>17</v>
      </c>
      <c r="P11" s="190">
        <v>19</v>
      </c>
      <c r="Q11" s="189"/>
      <c r="R11" s="265">
        <v>1</v>
      </c>
      <c r="S11" s="195">
        <f>R11*$V$17</f>
        <v>460.94234345939213</v>
      </c>
      <c r="V11" s="265"/>
    </row>
    <row r="12" spans="1:23" hidden="1">
      <c r="A12" s="189">
        <v>5</v>
      </c>
      <c r="B12" s="190" t="s">
        <v>201</v>
      </c>
      <c r="C12" s="189" t="s">
        <v>195</v>
      </c>
      <c r="D12" s="189"/>
      <c r="E12" s="189"/>
      <c r="F12" s="189"/>
      <c r="G12" s="178" t="s">
        <v>427</v>
      </c>
      <c r="H12" s="180"/>
      <c r="I12" s="180"/>
      <c r="J12" s="180"/>
      <c r="K12" s="179"/>
      <c r="L12" s="178"/>
      <c r="M12" s="178"/>
      <c r="N12" s="190">
        <v>19</v>
      </c>
      <c r="O12" s="190">
        <v>18</v>
      </c>
      <c r="P12" s="190">
        <v>19</v>
      </c>
      <c r="Q12" s="189"/>
      <c r="R12" s="265">
        <v>1</v>
      </c>
      <c r="S12" s="195">
        <f t="shared" ref="S12:S27" si="0">R12*$V$17</f>
        <v>460.94234345939213</v>
      </c>
      <c r="T12" s="264">
        <v>1</v>
      </c>
      <c r="U12" s="183">
        <f>COUNTIF(R8:R28, "=1,0")</f>
        <v>16</v>
      </c>
      <c r="V12" s="265"/>
    </row>
    <row r="13" spans="1:23" hidden="1">
      <c r="A13" s="189">
        <v>6</v>
      </c>
      <c r="B13" s="190" t="s">
        <v>202</v>
      </c>
      <c r="C13" s="189" t="s">
        <v>195</v>
      </c>
      <c r="D13" s="189"/>
      <c r="E13" s="302" t="s">
        <v>427</v>
      </c>
      <c r="F13" s="189"/>
      <c r="G13" s="178" t="s">
        <v>427</v>
      </c>
      <c r="H13" s="180"/>
      <c r="I13" s="180"/>
      <c r="J13" s="180"/>
      <c r="K13" s="179"/>
      <c r="L13" s="178"/>
      <c r="M13" s="178"/>
      <c r="N13" s="190">
        <v>18</v>
      </c>
      <c r="O13" s="190">
        <v>17</v>
      </c>
      <c r="P13" s="190">
        <v>19</v>
      </c>
      <c r="Q13" s="189"/>
      <c r="R13" s="265">
        <v>1</v>
      </c>
      <c r="S13" s="195">
        <f>R13*$V$17</f>
        <v>460.94234345939213</v>
      </c>
    </row>
    <row r="14" spans="1:23" hidden="1">
      <c r="A14" s="189">
        <v>7</v>
      </c>
      <c r="B14" s="190" t="s">
        <v>198</v>
      </c>
      <c r="C14" s="189" t="s">
        <v>195</v>
      </c>
      <c r="D14" s="189"/>
      <c r="E14" s="189"/>
      <c r="F14" s="189" t="s">
        <v>427</v>
      </c>
      <c r="G14" s="178" t="s">
        <v>427</v>
      </c>
      <c r="H14" s="180"/>
      <c r="I14" s="180"/>
      <c r="J14" s="180"/>
      <c r="K14" s="179"/>
      <c r="L14" s="178"/>
      <c r="M14" s="178"/>
      <c r="N14" s="190">
        <v>19</v>
      </c>
      <c r="O14" s="190">
        <v>18</v>
      </c>
      <c r="P14" s="190">
        <v>18</v>
      </c>
      <c r="Q14" s="189"/>
      <c r="R14" s="265">
        <v>1</v>
      </c>
      <c r="S14" s="195">
        <f t="shared" si="0"/>
        <v>460.94234345939213</v>
      </c>
      <c r="T14" s="264">
        <v>1.3</v>
      </c>
      <c r="U14" s="183">
        <f>COUNTIF(R8:R28, "=1,3")</f>
        <v>3</v>
      </c>
      <c r="V14" s="265"/>
    </row>
    <row r="15" spans="1:23" hidden="1">
      <c r="A15" s="189">
        <v>8</v>
      </c>
      <c r="B15" s="190" t="s">
        <v>212</v>
      </c>
      <c r="C15" s="189" t="s">
        <v>195</v>
      </c>
      <c r="D15" s="189" t="s">
        <v>427</v>
      </c>
      <c r="E15" s="189"/>
      <c r="F15" s="189"/>
      <c r="G15" s="178" t="s">
        <v>427</v>
      </c>
      <c r="H15" s="180"/>
      <c r="I15" s="180"/>
      <c r="J15" s="180"/>
      <c r="K15" s="179"/>
      <c r="L15" s="178"/>
      <c r="M15" s="178"/>
      <c r="N15" s="190">
        <v>18</v>
      </c>
      <c r="O15" s="190">
        <v>18</v>
      </c>
      <c r="P15" s="190">
        <v>18</v>
      </c>
      <c r="Q15" s="189"/>
      <c r="R15" s="265">
        <v>1</v>
      </c>
      <c r="S15" s="195">
        <f t="shared" si="0"/>
        <v>460.94234345939213</v>
      </c>
      <c r="T15" s="264">
        <v>4</v>
      </c>
      <c r="U15" s="183">
        <f>COUNTIF(R8:R28, "=4,0")</f>
        <v>2</v>
      </c>
      <c r="V15" s="265"/>
    </row>
    <row r="16" spans="1:23" hidden="1">
      <c r="A16" s="189">
        <v>9</v>
      </c>
      <c r="B16" s="190" t="s">
        <v>213</v>
      </c>
      <c r="C16" s="189" t="s">
        <v>195</v>
      </c>
      <c r="D16" s="189"/>
      <c r="E16" s="189"/>
      <c r="F16" s="189"/>
      <c r="G16" s="178" t="s">
        <v>427</v>
      </c>
      <c r="H16" s="180"/>
      <c r="I16" s="180"/>
      <c r="J16" s="180"/>
      <c r="K16" s="179"/>
      <c r="L16" s="178"/>
      <c r="M16" s="178"/>
      <c r="N16" s="190">
        <v>18</v>
      </c>
      <c r="O16" s="190">
        <v>15</v>
      </c>
      <c r="P16" s="190">
        <v>17</v>
      </c>
      <c r="Q16" s="189"/>
      <c r="R16" s="265">
        <v>1</v>
      </c>
      <c r="S16" s="195">
        <f>R16*$V$17</f>
        <v>460.94234345939213</v>
      </c>
      <c r="T16" s="264"/>
      <c r="U16" s="259"/>
    </row>
    <row r="17" spans="1:22" hidden="1">
      <c r="A17" s="189">
        <v>10</v>
      </c>
      <c r="B17" s="190" t="s">
        <v>194</v>
      </c>
      <c r="C17" s="189" t="s">
        <v>195</v>
      </c>
      <c r="D17" s="189"/>
      <c r="E17" s="189"/>
      <c r="F17" s="189" t="s">
        <v>427</v>
      </c>
      <c r="G17" s="178" t="s">
        <v>427</v>
      </c>
      <c r="H17" s="180"/>
      <c r="I17" s="180"/>
      <c r="J17" s="180"/>
      <c r="K17" s="179"/>
      <c r="L17" s="178"/>
      <c r="M17" s="178"/>
      <c r="N17" s="190">
        <v>19</v>
      </c>
      <c r="O17" s="190">
        <v>18</v>
      </c>
      <c r="P17" s="190">
        <v>15</v>
      </c>
      <c r="Q17" s="189"/>
      <c r="R17" s="265">
        <v>1</v>
      </c>
      <c r="S17" s="195">
        <f t="shared" si="0"/>
        <v>460.94234345939213</v>
      </c>
      <c r="V17" s="265">
        <f>'PL1.Tong hop'!C10/'PL4.CHI TIET XA '!R6</f>
        <v>460.94234345939213</v>
      </c>
    </row>
    <row r="18" spans="1:22" hidden="1">
      <c r="A18" s="189">
        <v>11</v>
      </c>
      <c r="B18" s="190" t="s">
        <v>205</v>
      </c>
      <c r="C18" s="189" t="s">
        <v>4</v>
      </c>
      <c r="D18" s="189"/>
      <c r="E18" s="189"/>
      <c r="F18" s="189"/>
      <c r="G18" s="178"/>
      <c r="H18" s="180"/>
      <c r="I18" s="180"/>
      <c r="J18" s="180"/>
      <c r="K18" s="179"/>
      <c r="L18" s="178"/>
      <c r="M18" s="178"/>
      <c r="N18" s="190">
        <v>11</v>
      </c>
      <c r="O18" s="190">
        <v>9</v>
      </c>
      <c r="P18" s="190">
        <v>12</v>
      </c>
      <c r="Q18" s="189"/>
      <c r="R18" s="265">
        <v>1</v>
      </c>
      <c r="S18" s="195">
        <f>R18*$V$17</f>
        <v>460.94234345939213</v>
      </c>
      <c r="T18" s="264"/>
      <c r="U18" s="259"/>
    </row>
    <row r="19" spans="1:22">
      <c r="A19" s="189">
        <v>12</v>
      </c>
      <c r="B19" s="190" t="s">
        <v>215</v>
      </c>
      <c r="C19" s="189" t="s">
        <v>507</v>
      </c>
      <c r="D19" s="189"/>
      <c r="E19" s="189"/>
      <c r="F19" s="189"/>
      <c r="G19" s="178"/>
      <c r="H19" s="180"/>
      <c r="I19" s="180"/>
      <c r="J19" s="180" t="s">
        <v>427</v>
      </c>
      <c r="K19" s="179"/>
      <c r="L19" s="178"/>
      <c r="M19" s="178"/>
      <c r="N19" s="190">
        <v>11</v>
      </c>
      <c r="O19" s="190">
        <v>12</v>
      </c>
      <c r="P19" s="190">
        <v>12</v>
      </c>
      <c r="Q19" s="189"/>
      <c r="R19" s="265">
        <v>1.3</v>
      </c>
      <c r="S19" s="195">
        <f>R19*$V$17</f>
        <v>599.22504649720975</v>
      </c>
      <c r="T19" s="264"/>
      <c r="U19" s="259"/>
    </row>
    <row r="20" spans="1:22" hidden="1">
      <c r="A20" s="189">
        <v>13</v>
      </c>
      <c r="B20" s="190" t="s">
        <v>214</v>
      </c>
      <c r="C20" s="189" t="s">
        <v>4</v>
      </c>
      <c r="D20" s="189"/>
      <c r="E20" s="189"/>
      <c r="F20" s="189"/>
      <c r="G20" s="178"/>
      <c r="H20" s="180"/>
      <c r="I20" s="180"/>
      <c r="J20" s="180"/>
      <c r="K20" s="179"/>
      <c r="L20" s="178"/>
      <c r="M20" s="178"/>
      <c r="N20" s="190">
        <v>11</v>
      </c>
      <c r="O20" s="190">
        <v>8</v>
      </c>
      <c r="P20" s="190">
        <v>12</v>
      </c>
      <c r="Q20" s="189"/>
      <c r="R20" s="265">
        <v>1</v>
      </c>
      <c r="S20" s="195">
        <f>R20*$V$17</f>
        <v>460.94234345939213</v>
      </c>
      <c r="T20" s="264"/>
      <c r="U20" s="259"/>
    </row>
    <row r="21" spans="1:22" hidden="1">
      <c r="A21" s="189">
        <v>14</v>
      </c>
      <c r="B21" s="190" t="s">
        <v>208</v>
      </c>
      <c r="C21" s="189" t="s">
        <v>204</v>
      </c>
      <c r="D21" s="189"/>
      <c r="E21" s="189"/>
      <c r="F21" s="189"/>
      <c r="G21" s="178"/>
      <c r="H21" s="180"/>
      <c r="I21" s="180"/>
      <c r="J21" s="180"/>
      <c r="K21" s="179"/>
      <c r="L21" s="178"/>
      <c r="M21" s="178"/>
      <c r="N21" s="190">
        <v>11</v>
      </c>
      <c r="O21" s="190">
        <v>9</v>
      </c>
      <c r="P21" s="190">
        <v>11</v>
      </c>
      <c r="Q21" s="189" t="s">
        <v>427</v>
      </c>
      <c r="R21" s="265">
        <v>4</v>
      </c>
      <c r="S21" s="195">
        <f t="shared" si="0"/>
        <v>1843.7693738375685</v>
      </c>
      <c r="T21" s="264"/>
      <c r="U21" s="259"/>
    </row>
    <row r="22" spans="1:22" hidden="1">
      <c r="A22" s="189">
        <v>15</v>
      </c>
      <c r="B22" s="190" t="s">
        <v>217</v>
      </c>
      <c r="C22" s="189" t="s">
        <v>4</v>
      </c>
      <c r="D22" s="189"/>
      <c r="E22" s="189"/>
      <c r="F22" s="189"/>
      <c r="G22" s="178"/>
      <c r="H22" s="180"/>
      <c r="I22" s="180"/>
      <c r="J22" s="180"/>
      <c r="K22" s="179"/>
      <c r="L22" s="178"/>
      <c r="M22" s="178"/>
      <c r="N22" s="190">
        <v>11</v>
      </c>
      <c r="O22" s="190">
        <v>8</v>
      </c>
      <c r="P22" s="190">
        <v>11</v>
      </c>
      <c r="Q22" s="189"/>
      <c r="R22" s="265">
        <v>1</v>
      </c>
      <c r="S22" s="195">
        <f t="shared" si="0"/>
        <v>460.94234345939213</v>
      </c>
      <c r="T22" s="264"/>
      <c r="U22" s="259"/>
    </row>
    <row r="23" spans="1:22" hidden="1">
      <c r="A23" s="189">
        <v>16</v>
      </c>
      <c r="B23" s="190" t="s">
        <v>216</v>
      </c>
      <c r="C23" s="189" t="s">
        <v>4</v>
      </c>
      <c r="D23" s="189"/>
      <c r="E23" s="189"/>
      <c r="F23" s="189"/>
      <c r="G23" s="178"/>
      <c r="H23" s="180"/>
      <c r="I23" s="180"/>
      <c r="J23" s="180"/>
      <c r="K23" s="179"/>
      <c r="L23" s="178"/>
      <c r="M23" s="178"/>
      <c r="N23" s="190">
        <v>11</v>
      </c>
      <c r="O23" s="190">
        <v>7</v>
      </c>
      <c r="P23" s="190">
        <v>11</v>
      </c>
      <c r="Q23" s="189"/>
      <c r="R23" s="265">
        <v>1</v>
      </c>
      <c r="S23" s="195">
        <f>R23*$V$17</f>
        <v>460.94234345939213</v>
      </c>
      <c r="T23" s="264"/>
      <c r="U23" s="259"/>
    </row>
    <row r="24" spans="1:22" hidden="1">
      <c r="A24" s="189">
        <v>17</v>
      </c>
      <c r="B24" s="190" t="s">
        <v>203</v>
      </c>
      <c r="C24" s="189" t="s">
        <v>204</v>
      </c>
      <c r="D24" s="189"/>
      <c r="E24" s="189"/>
      <c r="F24" s="189"/>
      <c r="G24" s="178"/>
      <c r="H24" s="180"/>
      <c r="I24" s="180"/>
      <c r="J24" s="180"/>
      <c r="K24" s="179"/>
      <c r="L24" s="178"/>
      <c r="M24" s="178"/>
      <c r="N24" s="190">
        <v>12</v>
      </c>
      <c r="O24" s="190">
        <v>8</v>
      </c>
      <c r="P24" s="190">
        <v>11</v>
      </c>
      <c r="Q24" s="189" t="s">
        <v>427</v>
      </c>
      <c r="R24" s="265">
        <v>4</v>
      </c>
      <c r="S24" s="195">
        <f>R24*$V$17</f>
        <v>1843.7693738375685</v>
      </c>
      <c r="T24" s="264"/>
      <c r="U24" s="259"/>
    </row>
    <row r="25" spans="1:22" hidden="1">
      <c r="A25" s="189">
        <v>18</v>
      </c>
      <c r="B25" s="190" t="s">
        <v>210</v>
      </c>
      <c r="C25" s="189" t="s">
        <v>4</v>
      </c>
      <c r="D25" s="189"/>
      <c r="E25" s="189"/>
      <c r="F25" s="189"/>
      <c r="G25" s="178"/>
      <c r="H25" s="180"/>
      <c r="I25" s="180"/>
      <c r="J25" s="180"/>
      <c r="K25" s="179"/>
      <c r="L25" s="178"/>
      <c r="M25" s="178"/>
      <c r="N25" s="190">
        <v>11</v>
      </c>
      <c r="O25" s="190">
        <v>8</v>
      </c>
      <c r="P25" s="190">
        <v>11</v>
      </c>
      <c r="Q25" s="189"/>
      <c r="R25" s="265">
        <v>1</v>
      </c>
      <c r="S25" s="195">
        <f t="shared" si="0"/>
        <v>460.94234345939213</v>
      </c>
      <c r="T25" s="264"/>
      <c r="U25" s="259"/>
    </row>
    <row r="26" spans="1:22" hidden="1">
      <c r="A26" s="189">
        <v>19</v>
      </c>
      <c r="B26" s="190" t="s">
        <v>211</v>
      </c>
      <c r="C26" s="189" t="s">
        <v>4</v>
      </c>
      <c r="D26" s="189"/>
      <c r="E26" s="189"/>
      <c r="F26" s="189"/>
      <c r="G26" s="178"/>
      <c r="H26" s="180"/>
      <c r="I26" s="180"/>
      <c r="J26" s="180"/>
      <c r="K26" s="179"/>
      <c r="L26" s="178"/>
      <c r="M26" s="178"/>
      <c r="N26" s="190">
        <v>11</v>
      </c>
      <c r="O26" s="190">
        <v>7</v>
      </c>
      <c r="P26" s="190">
        <v>10</v>
      </c>
      <c r="Q26" s="189"/>
      <c r="R26" s="265">
        <v>1</v>
      </c>
      <c r="S26" s="195">
        <f t="shared" si="0"/>
        <v>460.94234345939213</v>
      </c>
      <c r="T26" s="264"/>
      <c r="U26" s="259"/>
    </row>
    <row r="27" spans="1:22" hidden="1">
      <c r="A27" s="189">
        <v>20</v>
      </c>
      <c r="B27" s="190" t="s">
        <v>209</v>
      </c>
      <c r="C27" s="189" t="s">
        <v>4</v>
      </c>
      <c r="D27" s="189"/>
      <c r="E27" s="189"/>
      <c r="F27" s="189"/>
      <c r="G27" s="178"/>
      <c r="H27" s="180"/>
      <c r="I27" s="180"/>
      <c r="J27" s="180"/>
      <c r="K27" s="179"/>
      <c r="L27" s="178"/>
      <c r="M27" s="178"/>
      <c r="N27" s="190">
        <v>10</v>
      </c>
      <c r="O27" s="190">
        <v>7</v>
      </c>
      <c r="P27" s="190">
        <v>10</v>
      </c>
      <c r="Q27" s="189"/>
      <c r="R27" s="265">
        <v>1</v>
      </c>
      <c r="S27" s="195">
        <f t="shared" si="0"/>
        <v>460.94234345939213</v>
      </c>
      <c r="T27" s="264"/>
      <c r="U27" s="259"/>
    </row>
    <row r="28" spans="1:22" hidden="1">
      <c r="A28" s="189">
        <v>21</v>
      </c>
      <c r="B28" s="190" t="s">
        <v>206</v>
      </c>
      <c r="C28" s="189" t="s">
        <v>4</v>
      </c>
      <c r="D28" s="189"/>
      <c r="E28" s="189"/>
      <c r="F28" s="189"/>
      <c r="G28" s="178"/>
      <c r="H28" s="180"/>
      <c r="I28" s="180"/>
      <c r="J28" s="180"/>
      <c r="K28" s="179"/>
      <c r="L28" s="178"/>
      <c r="M28" s="178"/>
      <c r="N28" s="190">
        <v>10</v>
      </c>
      <c r="O28" s="190">
        <v>7</v>
      </c>
      <c r="P28" s="190">
        <v>10</v>
      </c>
      <c r="Q28" s="189"/>
      <c r="R28" s="265">
        <v>1</v>
      </c>
      <c r="S28" s="195">
        <f>R28*$V$17</f>
        <v>460.94234345939213</v>
      </c>
      <c r="T28" s="264"/>
      <c r="U28" s="259"/>
    </row>
    <row r="29" spans="1:22" s="199" customFormat="1" hidden="1">
      <c r="A29" s="196">
        <v>2</v>
      </c>
      <c r="B29" s="197" t="s">
        <v>218</v>
      </c>
      <c r="C29" s="196"/>
      <c r="D29" s="196"/>
      <c r="E29" s="196"/>
      <c r="F29" s="196"/>
      <c r="G29" s="198"/>
      <c r="H29" s="200"/>
      <c r="I29" s="200"/>
      <c r="J29" s="200"/>
      <c r="K29" s="198"/>
      <c r="L29" s="198"/>
      <c r="M29" s="198"/>
      <c r="N29" s="197"/>
      <c r="O29" s="197"/>
      <c r="P29" s="197"/>
      <c r="Q29" s="196"/>
      <c r="R29" s="202"/>
      <c r="S29" s="192">
        <f>SUM(S30:S35)</f>
        <v>8296.9621822690588</v>
      </c>
      <c r="T29" s="263"/>
      <c r="U29" s="260"/>
    </row>
    <row r="30" spans="1:22" hidden="1">
      <c r="A30" s="189">
        <v>1</v>
      </c>
      <c r="B30" s="190" t="s">
        <v>219</v>
      </c>
      <c r="C30" s="189" t="s">
        <v>195</v>
      </c>
      <c r="D30" s="189"/>
      <c r="E30" s="189"/>
      <c r="F30" s="189"/>
      <c r="G30" s="178"/>
      <c r="H30" s="181" t="s">
        <v>427</v>
      </c>
      <c r="I30" s="181" t="s">
        <v>427</v>
      </c>
      <c r="J30" s="181"/>
      <c r="K30" s="179"/>
      <c r="L30" s="178"/>
      <c r="M30" s="178"/>
      <c r="N30" s="190">
        <v>11</v>
      </c>
      <c r="O30" s="190">
        <v>20</v>
      </c>
      <c r="P30" s="190">
        <v>20</v>
      </c>
      <c r="Q30" s="189"/>
      <c r="R30" s="265">
        <v>1</v>
      </c>
      <c r="S30" s="195">
        <f t="shared" ref="S30:S35" si="1">R30*$V$17</f>
        <v>460.94234345939213</v>
      </c>
      <c r="T30" s="264">
        <v>1</v>
      </c>
      <c r="U30" s="183">
        <f>COUNTIF(R30:R35, "=1,0")</f>
        <v>2</v>
      </c>
    </row>
    <row r="31" spans="1:22" hidden="1">
      <c r="A31" s="189">
        <v>2</v>
      </c>
      <c r="B31" s="190" t="s">
        <v>223</v>
      </c>
      <c r="C31" s="189" t="s">
        <v>195</v>
      </c>
      <c r="D31" s="189"/>
      <c r="E31" s="189"/>
      <c r="F31" s="189"/>
      <c r="G31" s="179" t="s">
        <v>427</v>
      </c>
      <c r="H31" s="179"/>
      <c r="I31" s="179"/>
      <c r="J31" s="179"/>
      <c r="K31" s="179"/>
      <c r="L31" s="178"/>
      <c r="M31" s="178"/>
      <c r="N31" s="190">
        <v>19</v>
      </c>
      <c r="O31" s="190">
        <v>10</v>
      </c>
      <c r="P31" s="190">
        <v>20</v>
      </c>
      <c r="Q31" s="189"/>
      <c r="R31" s="265">
        <v>1</v>
      </c>
      <c r="S31" s="195">
        <f>R31*$V$17</f>
        <v>460.94234345939213</v>
      </c>
      <c r="T31" s="264"/>
      <c r="U31" s="259"/>
    </row>
    <row r="32" spans="1:22" hidden="1">
      <c r="A32" s="189">
        <v>3</v>
      </c>
      <c r="B32" s="190" t="s">
        <v>222</v>
      </c>
      <c r="C32" s="189" t="s">
        <v>204</v>
      </c>
      <c r="D32" s="189"/>
      <c r="E32" s="189"/>
      <c r="F32" s="189"/>
      <c r="G32" s="178"/>
      <c r="H32" s="181" t="s">
        <v>427</v>
      </c>
      <c r="I32" s="181"/>
      <c r="J32" s="181" t="s">
        <v>427</v>
      </c>
      <c r="K32" s="179"/>
      <c r="L32" s="178"/>
      <c r="M32" s="178"/>
      <c r="N32" s="190">
        <v>10</v>
      </c>
      <c r="O32" s="190">
        <v>12</v>
      </c>
      <c r="P32" s="190">
        <v>13</v>
      </c>
      <c r="Q32" s="189" t="s">
        <v>427</v>
      </c>
      <c r="R32" s="265">
        <v>4</v>
      </c>
      <c r="S32" s="195">
        <f t="shared" si="1"/>
        <v>1843.7693738375685</v>
      </c>
      <c r="T32" s="264">
        <v>1.3</v>
      </c>
      <c r="U32" s="183">
        <f>COUNTIF(R30:R35, "=1,3")</f>
        <v>0</v>
      </c>
    </row>
    <row r="33" spans="1:21" hidden="1">
      <c r="A33" s="189">
        <v>4</v>
      </c>
      <c r="B33" s="190" t="s">
        <v>221</v>
      </c>
      <c r="C33" s="189" t="s">
        <v>204</v>
      </c>
      <c r="D33" s="189"/>
      <c r="E33" s="189"/>
      <c r="F33" s="189"/>
      <c r="G33" s="178"/>
      <c r="H33" s="180"/>
      <c r="I33" s="180"/>
      <c r="J33" s="180"/>
      <c r="K33" s="179"/>
      <c r="L33" s="178"/>
      <c r="M33" s="178"/>
      <c r="N33" s="190">
        <v>11</v>
      </c>
      <c r="O33" s="190">
        <v>11</v>
      </c>
      <c r="P33" s="190">
        <v>10</v>
      </c>
      <c r="Q33" s="189" t="s">
        <v>427</v>
      </c>
      <c r="R33" s="265">
        <v>4</v>
      </c>
      <c r="S33" s="195">
        <f t="shared" si="1"/>
        <v>1843.7693738375685</v>
      </c>
      <c r="T33" s="264">
        <v>4</v>
      </c>
      <c r="U33" s="183">
        <f>COUNTIF(R30:R35, "=4,0")</f>
        <v>4</v>
      </c>
    </row>
    <row r="34" spans="1:21" hidden="1">
      <c r="A34" s="189">
        <v>5</v>
      </c>
      <c r="B34" s="190" t="s">
        <v>220</v>
      </c>
      <c r="C34" s="189" t="s">
        <v>204</v>
      </c>
      <c r="D34" s="189"/>
      <c r="E34" s="189"/>
      <c r="F34" s="189"/>
      <c r="G34" s="178"/>
      <c r="H34" s="180"/>
      <c r="I34" s="180"/>
      <c r="J34" s="180"/>
      <c r="K34" s="179" t="s">
        <v>427</v>
      </c>
      <c r="L34" s="178"/>
      <c r="M34" s="178"/>
      <c r="N34" s="190">
        <v>13</v>
      </c>
      <c r="O34" s="190">
        <v>10</v>
      </c>
      <c r="P34" s="190">
        <v>10</v>
      </c>
      <c r="Q34" s="189" t="s">
        <v>427</v>
      </c>
      <c r="R34" s="265">
        <v>4</v>
      </c>
      <c r="S34" s="195">
        <f t="shared" si="1"/>
        <v>1843.7693738375685</v>
      </c>
    </row>
    <row r="35" spans="1:21" hidden="1">
      <c r="A35" s="189">
        <v>6</v>
      </c>
      <c r="B35" s="190" t="s">
        <v>224</v>
      </c>
      <c r="C35" s="189" t="s">
        <v>204</v>
      </c>
      <c r="D35" s="189"/>
      <c r="E35" s="189"/>
      <c r="F35" s="189"/>
      <c r="G35" s="178"/>
      <c r="H35" s="178"/>
      <c r="I35" s="178"/>
      <c r="J35" s="178"/>
      <c r="K35" s="179"/>
      <c r="L35" s="178"/>
      <c r="M35" s="178"/>
      <c r="N35" s="190"/>
      <c r="O35" s="190"/>
      <c r="P35" s="190"/>
      <c r="Q35" s="189" t="s">
        <v>427</v>
      </c>
      <c r="R35" s="265">
        <v>4</v>
      </c>
      <c r="S35" s="195">
        <f t="shared" si="1"/>
        <v>1843.7693738375685</v>
      </c>
      <c r="T35" s="264"/>
      <c r="U35" s="259"/>
    </row>
    <row r="36" spans="1:21" s="199" customFormat="1" ht="31.5" hidden="1">
      <c r="A36" s="196">
        <v>3</v>
      </c>
      <c r="B36" s="197" t="s">
        <v>184</v>
      </c>
      <c r="C36" s="196"/>
      <c r="D36" s="196"/>
      <c r="E36" s="196"/>
      <c r="F36" s="196"/>
      <c r="G36" s="198"/>
      <c r="H36" s="198"/>
      <c r="I36" s="198"/>
      <c r="J36" s="198"/>
      <c r="K36" s="198"/>
      <c r="L36" s="198"/>
      <c r="M36" s="198"/>
      <c r="N36" s="197"/>
      <c r="O36" s="197"/>
      <c r="P36" s="197"/>
      <c r="Q36" s="196"/>
      <c r="R36" s="202"/>
      <c r="S36" s="192">
        <f>SUM(S37:S61)</f>
        <v>18852.541847489138</v>
      </c>
      <c r="T36" s="263"/>
      <c r="U36" s="260"/>
    </row>
    <row r="37" spans="1:21" hidden="1">
      <c r="A37" s="189">
        <v>1</v>
      </c>
      <c r="B37" s="190" t="s">
        <v>241</v>
      </c>
      <c r="C37" s="189" t="s">
        <v>195</v>
      </c>
      <c r="D37" s="189" t="s">
        <v>427</v>
      </c>
      <c r="E37" s="189"/>
      <c r="F37" s="189"/>
      <c r="G37" s="178" t="s">
        <v>427</v>
      </c>
      <c r="H37" s="178"/>
      <c r="I37" s="178"/>
      <c r="J37" s="178"/>
      <c r="K37" s="179"/>
      <c r="L37" s="178"/>
      <c r="M37" s="178"/>
      <c r="N37" s="190">
        <v>19</v>
      </c>
      <c r="O37" s="190">
        <v>19</v>
      </c>
      <c r="P37" s="190">
        <v>20</v>
      </c>
      <c r="Q37" s="189"/>
      <c r="R37" s="265">
        <v>1</v>
      </c>
      <c r="S37" s="195">
        <f t="shared" ref="S37:S61" si="2">R37*$V$17</f>
        <v>460.94234345939213</v>
      </c>
      <c r="T37" s="264">
        <v>1</v>
      </c>
      <c r="U37" s="183">
        <f>COUNTIF(R37:R61, "=1,0")</f>
        <v>17</v>
      </c>
    </row>
    <row r="38" spans="1:21">
      <c r="A38" s="189">
        <v>2</v>
      </c>
      <c r="B38" s="190" t="s">
        <v>233</v>
      </c>
      <c r="C38" s="189" t="s">
        <v>505</v>
      </c>
      <c r="D38" s="189"/>
      <c r="E38" s="189"/>
      <c r="F38" s="189"/>
      <c r="G38" s="178"/>
      <c r="H38" s="178"/>
      <c r="I38" s="178" t="s">
        <v>427</v>
      </c>
      <c r="J38" s="178"/>
      <c r="K38" s="179"/>
      <c r="L38" s="178"/>
      <c r="M38" s="178"/>
      <c r="N38" s="190">
        <v>10</v>
      </c>
      <c r="O38" s="190">
        <v>12</v>
      </c>
      <c r="P38" s="190">
        <v>20</v>
      </c>
      <c r="Q38" s="189"/>
      <c r="R38" s="265">
        <v>1.3</v>
      </c>
      <c r="S38" s="195">
        <f t="shared" si="2"/>
        <v>599.22504649720975</v>
      </c>
      <c r="T38" s="264">
        <v>1.3</v>
      </c>
      <c r="U38" s="183">
        <f>COUNTIF(R37:R61, "=1,3")</f>
        <v>3</v>
      </c>
    </row>
    <row r="39" spans="1:21">
      <c r="A39" s="189">
        <v>3</v>
      </c>
      <c r="B39" s="190" t="s">
        <v>236</v>
      </c>
      <c r="C39" s="189" t="s">
        <v>507</v>
      </c>
      <c r="D39" s="189"/>
      <c r="E39" s="189"/>
      <c r="F39" s="189"/>
      <c r="G39" s="178"/>
      <c r="H39" s="178"/>
      <c r="I39" s="178"/>
      <c r="J39" s="178" t="s">
        <v>427</v>
      </c>
      <c r="K39" s="179"/>
      <c r="L39" s="178"/>
      <c r="M39" s="178"/>
      <c r="N39" s="190">
        <v>14</v>
      </c>
      <c r="O39" s="190">
        <v>10</v>
      </c>
      <c r="P39" s="190">
        <v>20</v>
      </c>
      <c r="Q39" s="189"/>
      <c r="R39" s="265">
        <v>1.3</v>
      </c>
      <c r="S39" s="195">
        <f t="shared" si="2"/>
        <v>599.22504649720975</v>
      </c>
      <c r="T39" s="264">
        <v>4</v>
      </c>
      <c r="U39" s="183">
        <f>COUNTIF(R37:R61, "=4,0")</f>
        <v>5</v>
      </c>
    </row>
    <row r="40" spans="1:21" hidden="1">
      <c r="A40" s="189">
        <v>4</v>
      </c>
      <c r="B40" s="190" t="s">
        <v>231</v>
      </c>
      <c r="C40" s="189" t="s">
        <v>195</v>
      </c>
      <c r="D40" s="189"/>
      <c r="E40" s="189"/>
      <c r="F40" s="189"/>
      <c r="G40" s="178"/>
      <c r="H40" s="182" t="s">
        <v>427</v>
      </c>
      <c r="I40" s="182" t="s">
        <v>427</v>
      </c>
      <c r="J40" s="182"/>
      <c r="K40" s="179"/>
      <c r="L40" s="178"/>
      <c r="M40" s="178"/>
      <c r="N40" s="190">
        <v>14</v>
      </c>
      <c r="O40" s="190">
        <v>13</v>
      </c>
      <c r="P40" s="190">
        <v>20</v>
      </c>
      <c r="Q40" s="189"/>
      <c r="R40" s="265">
        <v>1</v>
      </c>
      <c r="S40" s="195">
        <f t="shared" si="2"/>
        <v>460.94234345939213</v>
      </c>
      <c r="T40" s="264"/>
      <c r="U40" s="259"/>
    </row>
    <row r="41" spans="1:21">
      <c r="A41" s="189">
        <v>5</v>
      </c>
      <c r="B41" s="190" t="s">
        <v>248</v>
      </c>
      <c r="C41" s="189" t="s">
        <v>197</v>
      </c>
      <c r="D41" s="189"/>
      <c r="E41" s="189"/>
      <c r="F41" s="189"/>
      <c r="G41" s="178"/>
      <c r="H41" s="178"/>
      <c r="I41" s="178"/>
      <c r="J41" s="178"/>
      <c r="K41" s="179"/>
      <c r="L41" s="178"/>
      <c r="M41" s="178"/>
      <c r="N41" s="190">
        <v>9</v>
      </c>
      <c r="O41" s="190">
        <v>10</v>
      </c>
      <c r="P41" s="190">
        <v>19</v>
      </c>
      <c r="Q41" s="189"/>
      <c r="R41" s="265">
        <v>1.3</v>
      </c>
      <c r="S41" s="195">
        <f t="shared" si="2"/>
        <v>599.22504649720975</v>
      </c>
      <c r="T41" s="264"/>
      <c r="U41" s="259"/>
    </row>
    <row r="42" spans="1:21" hidden="1">
      <c r="A42" s="189">
        <v>6</v>
      </c>
      <c r="B42" s="190" t="s">
        <v>227</v>
      </c>
      <c r="C42" s="189" t="s">
        <v>195</v>
      </c>
      <c r="D42" s="189"/>
      <c r="E42" s="189"/>
      <c r="F42" s="189" t="s">
        <v>427</v>
      </c>
      <c r="G42" s="178" t="s">
        <v>427</v>
      </c>
      <c r="H42" s="178"/>
      <c r="I42" s="178"/>
      <c r="J42" s="178"/>
      <c r="K42" s="179"/>
      <c r="L42" s="178"/>
      <c r="M42" s="178"/>
      <c r="N42" s="190">
        <v>19</v>
      </c>
      <c r="O42" s="190">
        <v>19</v>
      </c>
      <c r="P42" s="190">
        <v>18</v>
      </c>
      <c r="Q42" s="189"/>
      <c r="R42" s="265">
        <v>1</v>
      </c>
      <c r="S42" s="195">
        <f t="shared" si="2"/>
        <v>460.94234345939213</v>
      </c>
    </row>
    <row r="43" spans="1:21" ht="22.5" hidden="1" customHeight="1">
      <c r="A43" s="189">
        <v>7</v>
      </c>
      <c r="B43" s="190" t="s">
        <v>232</v>
      </c>
      <c r="C43" s="189" t="s">
        <v>195</v>
      </c>
      <c r="D43" s="189"/>
      <c r="E43" s="189"/>
      <c r="F43" s="189"/>
      <c r="G43" s="178" t="s">
        <v>427</v>
      </c>
      <c r="H43" s="178"/>
      <c r="I43" s="178"/>
      <c r="J43" s="178"/>
      <c r="K43" s="179"/>
      <c r="L43" s="178"/>
      <c r="M43" s="178"/>
      <c r="N43" s="190">
        <v>18</v>
      </c>
      <c r="O43" s="190">
        <v>18</v>
      </c>
      <c r="P43" s="190">
        <v>18</v>
      </c>
      <c r="Q43" s="189"/>
      <c r="R43" s="265">
        <v>1</v>
      </c>
      <c r="S43" s="195">
        <f t="shared" si="2"/>
        <v>460.94234345939213</v>
      </c>
    </row>
    <row r="44" spans="1:21" hidden="1">
      <c r="A44" s="189">
        <v>8</v>
      </c>
      <c r="B44" s="190" t="s">
        <v>244</v>
      </c>
      <c r="C44" s="189" t="s">
        <v>195</v>
      </c>
      <c r="D44" s="189"/>
      <c r="E44" s="189"/>
      <c r="F44" s="189"/>
      <c r="G44" s="178" t="s">
        <v>427</v>
      </c>
      <c r="H44" s="178"/>
      <c r="I44" s="178"/>
      <c r="J44" s="178"/>
      <c r="K44" s="179"/>
      <c r="L44" s="178"/>
      <c r="M44" s="178"/>
      <c r="N44" s="190">
        <v>19</v>
      </c>
      <c r="O44" s="190">
        <v>19</v>
      </c>
      <c r="P44" s="190">
        <v>17</v>
      </c>
      <c r="Q44" s="189"/>
      <c r="R44" s="265">
        <v>1</v>
      </c>
      <c r="S44" s="195">
        <f t="shared" si="2"/>
        <v>460.94234345939213</v>
      </c>
    </row>
    <row r="45" spans="1:21" hidden="1">
      <c r="A45" s="189">
        <v>9</v>
      </c>
      <c r="B45" s="190" t="s">
        <v>235</v>
      </c>
      <c r="C45" s="189" t="s">
        <v>195</v>
      </c>
      <c r="D45" s="189"/>
      <c r="E45" s="302" t="s">
        <v>427</v>
      </c>
      <c r="F45" s="189"/>
      <c r="G45" s="178" t="s">
        <v>427</v>
      </c>
      <c r="H45" s="178"/>
      <c r="I45" s="178"/>
      <c r="J45" s="178"/>
      <c r="K45" s="179"/>
      <c r="L45" s="178"/>
      <c r="M45" s="178"/>
      <c r="N45" s="190">
        <v>19</v>
      </c>
      <c r="O45" s="190">
        <v>19</v>
      </c>
      <c r="P45" s="190">
        <v>17</v>
      </c>
      <c r="Q45" s="189"/>
      <c r="R45" s="265">
        <v>1</v>
      </c>
      <c r="S45" s="195">
        <f t="shared" si="2"/>
        <v>460.94234345939213</v>
      </c>
    </row>
    <row r="46" spans="1:21" hidden="1">
      <c r="A46" s="189">
        <v>10</v>
      </c>
      <c r="B46" s="190" t="s">
        <v>226</v>
      </c>
      <c r="C46" s="189" t="s">
        <v>195</v>
      </c>
      <c r="D46" s="189"/>
      <c r="E46" s="189"/>
      <c r="F46" s="189" t="s">
        <v>427</v>
      </c>
      <c r="G46" s="178" t="s">
        <v>427</v>
      </c>
      <c r="H46" s="178"/>
      <c r="I46" s="178"/>
      <c r="J46" s="178"/>
      <c r="K46" s="179"/>
      <c r="L46" s="178"/>
      <c r="M46" s="178"/>
      <c r="N46" s="190">
        <v>19</v>
      </c>
      <c r="O46" s="190">
        <v>18</v>
      </c>
      <c r="P46" s="190">
        <v>17</v>
      </c>
      <c r="Q46" s="189"/>
      <c r="R46" s="265">
        <v>1</v>
      </c>
      <c r="S46" s="195">
        <f t="shared" si="2"/>
        <v>460.94234345939213</v>
      </c>
    </row>
    <row r="47" spans="1:21" hidden="1">
      <c r="A47" s="189">
        <v>11</v>
      </c>
      <c r="B47" s="190" t="s">
        <v>225</v>
      </c>
      <c r="C47" s="189" t="s">
        <v>195</v>
      </c>
      <c r="D47" s="189"/>
      <c r="E47" s="189"/>
      <c r="F47" s="189" t="s">
        <v>427</v>
      </c>
      <c r="G47" s="178" t="s">
        <v>427</v>
      </c>
      <c r="H47" s="178"/>
      <c r="I47" s="178"/>
      <c r="J47" s="178"/>
      <c r="K47" s="179"/>
      <c r="L47" s="178"/>
      <c r="M47" s="178"/>
      <c r="N47" s="190">
        <v>18</v>
      </c>
      <c r="O47" s="190">
        <v>18</v>
      </c>
      <c r="P47" s="190">
        <v>17</v>
      </c>
      <c r="Q47" s="189"/>
      <c r="R47" s="265">
        <v>1</v>
      </c>
      <c r="S47" s="195">
        <f t="shared" si="2"/>
        <v>460.94234345939213</v>
      </c>
      <c r="T47" s="183"/>
    </row>
    <row r="48" spans="1:21" hidden="1">
      <c r="A48" s="189">
        <v>12</v>
      </c>
      <c r="B48" s="190" t="s">
        <v>234</v>
      </c>
      <c r="C48" s="189" t="s">
        <v>195</v>
      </c>
      <c r="D48" s="189"/>
      <c r="E48" s="302" t="s">
        <v>427</v>
      </c>
      <c r="F48" s="189"/>
      <c r="G48" s="178" t="s">
        <v>427</v>
      </c>
      <c r="H48" s="178"/>
      <c r="I48" s="178"/>
      <c r="J48" s="178"/>
      <c r="K48" s="179"/>
      <c r="L48" s="178"/>
      <c r="M48" s="178"/>
      <c r="N48" s="190">
        <v>18</v>
      </c>
      <c r="O48" s="190">
        <v>18</v>
      </c>
      <c r="P48" s="190">
        <v>17</v>
      </c>
      <c r="Q48" s="189"/>
      <c r="R48" s="265">
        <v>1</v>
      </c>
      <c r="S48" s="195">
        <f t="shared" si="2"/>
        <v>460.94234345939213</v>
      </c>
      <c r="T48" s="264"/>
      <c r="U48" s="259"/>
    </row>
    <row r="49" spans="1:21" hidden="1">
      <c r="A49" s="189">
        <v>13</v>
      </c>
      <c r="B49" s="190" t="s">
        <v>228</v>
      </c>
      <c r="C49" s="189" t="s">
        <v>195</v>
      </c>
      <c r="D49" s="189"/>
      <c r="E49" s="189"/>
      <c r="F49" s="189" t="s">
        <v>427</v>
      </c>
      <c r="G49" s="178" t="s">
        <v>427</v>
      </c>
      <c r="H49" s="178"/>
      <c r="I49" s="178"/>
      <c r="J49" s="178"/>
      <c r="K49" s="179"/>
      <c r="L49" s="178"/>
      <c r="M49" s="178"/>
      <c r="N49" s="190">
        <v>18</v>
      </c>
      <c r="O49" s="190">
        <v>18</v>
      </c>
      <c r="P49" s="190">
        <v>16</v>
      </c>
      <c r="Q49" s="189"/>
      <c r="R49" s="265">
        <v>1</v>
      </c>
      <c r="S49" s="195">
        <f t="shared" si="2"/>
        <v>460.94234345939213</v>
      </c>
      <c r="T49" s="264"/>
      <c r="U49" s="259"/>
    </row>
    <row r="50" spans="1:21" hidden="1">
      <c r="A50" s="189">
        <v>14</v>
      </c>
      <c r="B50" s="190" t="s">
        <v>238</v>
      </c>
      <c r="C50" s="189" t="s">
        <v>204</v>
      </c>
      <c r="D50" s="189"/>
      <c r="E50" s="189"/>
      <c r="F50" s="189"/>
      <c r="G50" s="178"/>
      <c r="H50" s="178"/>
      <c r="I50" s="178"/>
      <c r="J50" s="178"/>
      <c r="K50" s="179"/>
      <c r="L50" s="178"/>
      <c r="M50" s="178"/>
      <c r="N50" s="190">
        <v>10</v>
      </c>
      <c r="O50" s="190">
        <v>9</v>
      </c>
      <c r="P50" s="190">
        <v>12</v>
      </c>
      <c r="Q50" s="189" t="s">
        <v>427</v>
      </c>
      <c r="R50" s="265">
        <v>4</v>
      </c>
      <c r="S50" s="195">
        <f t="shared" si="2"/>
        <v>1843.7693738375685</v>
      </c>
      <c r="T50" s="264"/>
      <c r="U50" s="259"/>
    </row>
    <row r="51" spans="1:21" hidden="1">
      <c r="A51" s="189">
        <v>15</v>
      </c>
      <c r="B51" s="190" t="s">
        <v>237</v>
      </c>
      <c r="C51" s="189" t="s">
        <v>204</v>
      </c>
      <c r="D51" s="189"/>
      <c r="E51" s="189"/>
      <c r="F51" s="189"/>
      <c r="G51" s="178"/>
      <c r="H51" s="178"/>
      <c r="I51" s="178"/>
      <c r="J51" s="178"/>
      <c r="K51" s="179"/>
      <c r="L51" s="178"/>
      <c r="M51" s="178"/>
      <c r="N51" s="190">
        <v>9</v>
      </c>
      <c r="O51" s="190">
        <v>9</v>
      </c>
      <c r="P51" s="190">
        <v>12</v>
      </c>
      <c r="Q51" s="189" t="s">
        <v>427</v>
      </c>
      <c r="R51" s="265">
        <v>4</v>
      </c>
      <c r="S51" s="195">
        <f t="shared" si="2"/>
        <v>1843.7693738375685</v>
      </c>
      <c r="T51" s="264"/>
      <c r="U51" s="259"/>
    </row>
    <row r="52" spans="1:21" hidden="1">
      <c r="A52" s="189">
        <v>16</v>
      </c>
      <c r="B52" s="190" t="s">
        <v>247</v>
      </c>
      <c r="C52" s="189" t="s">
        <v>4</v>
      </c>
      <c r="D52" s="189"/>
      <c r="E52" s="189"/>
      <c r="F52" s="189"/>
      <c r="G52" s="178"/>
      <c r="H52" s="178"/>
      <c r="I52" s="178"/>
      <c r="J52" s="178"/>
      <c r="K52" s="179"/>
      <c r="L52" s="178"/>
      <c r="M52" s="178"/>
      <c r="N52" s="190">
        <v>10</v>
      </c>
      <c r="O52" s="190">
        <v>9</v>
      </c>
      <c r="P52" s="190">
        <v>12</v>
      </c>
      <c r="Q52" s="189"/>
      <c r="R52" s="265">
        <v>1</v>
      </c>
      <c r="S52" s="195">
        <f t="shared" si="2"/>
        <v>460.94234345939213</v>
      </c>
      <c r="T52" s="264"/>
      <c r="U52" s="259"/>
    </row>
    <row r="53" spans="1:21" hidden="1">
      <c r="A53" s="189">
        <v>17</v>
      </c>
      <c r="B53" s="190" t="s">
        <v>242</v>
      </c>
      <c r="C53" s="189" t="s">
        <v>4</v>
      </c>
      <c r="D53" s="189"/>
      <c r="E53" s="189"/>
      <c r="F53" s="189"/>
      <c r="G53" s="178"/>
      <c r="H53" s="178"/>
      <c r="I53" s="178"/>
      <c r="J53" s="178"/>
      <c r="K53" s="179"/>
      <c r="L53" s="178"/>
      <c r="M53" s="178"/>
      <c r="N53" s="190">
        <v>10</v>
      </c>
      <c r="O53" s="190">
        <v>9</v>
      </c>
      <c r="P53" s="190">
        <v>11</v>
      </c>
      <c r="Q53" s="189"/>
      <c r="R53" s="265">
        <v>1</v>
      </c>
      <c r="S53" s="195">
        <f t="shared" si="2"/>
        <v>460.94234345939213</v>
      </c>
      <c r="T53" s="264"/>
      <c r="U53" s="259"/>
    </row>
    <row r="54" spans="1:21" hidden="1">
      <c r="A54" s="189">
        <v>18</v>
      </c>
      <c r="B54" s="190" t="s">
        <v>230</v>
      </c>
      <c r="C54" s="189" t="s">
        <v>204</v>
      </c>
      <c r="D54" s="189"/>
      <c r="E54" s="189"/>
      <c r="F54" s="189"/>
      <c r="G54" s="178"/>
      <c r="H54" s="178"/>
      <c r="I54" s="178"/>
      <c r="J54" s="178" t="s">
        <v>427</v>
      </c>
      <c r="K54" s="179" t="s">
        <v>427</v>
      </c>
      <c r="L54" s="178"/>
      <c r="M54" s="178"/>
      <c r="N54" s="190">
        <v>10</v>
      </c>
      <c r="O54" s="190">
        <v>9</v>
      </c>
      <c r="P54" s="190">
        <v>11</v>
      </c>
      <c r="Q54" s="189" t="s">
        <v>427</v>
      </c>
      <c r="R54" s="265">
        <v>4</v>
      </c>
      <c r="S54" s="195">
        <f t="shared" si="2"/>
        <v>1843.7693738375685</v>
      </c>
      <c r="T54" s="264"/>
      <c r="U54" s="259"/>
    </row>
    <row r="55" spans="1:21" hidden="1">
      <c r="A55" s="189">
        <v>19</v>
      </c>
      <c r="B55" s="190" t="s">
        <v>245</v>
      </c>
      <c r="C55" s="189" t="s">
        <v>204</v>
      </c>
      <c r="D55" s="189"/>
      <c r="E55" s="189"/>
      <c r="F55" s="189"/>
      <c r="G55" s="178"/>
      <c r="H55" s="178"/>
      <c r="I55" s="178"/>
      <c r="J55" s="178"/>
      <c r="K55" s="179"/>
      <c r="L55" s="178"/>
      <c r="M55" s="178"/>
      <c r="N55" s="190">
        <v>9</v>
      </c>
      <c r="O55" s="190">
        <v>8</v>
      </c>
      <c r="P55" s="190">
        <v>11</v>
      </c>
      <c r="Q55" s="189" t="s">
        <v>427</v>
      </c>
      <c r="R55" s="265">
        <v>4</v>
      </c>
      <c r="S55" s="195">
        <f t="shared" si="2"/>
        <v>1843.7693738375685</v>
      </c>
      <c r="T55" s="264"/>
      <c r="U55" s="259"/>
    </row>
    <row r="56" spans="1:21" hidden="1">
      <c r="A56" s="189">
        <v>20</v>
      </c>
      <c r="B56" s="190" t="s">
        <v>229</v>
      </c>
      <c r="C56" s="189" t="s">
        <v>204</v>
      </c>
      <c r="D56" s="189"/>
      <c r="E56" s="189"/>
      <c r="F56" s="189"/>
      <c r="G56" s="178"/>
      <c r="H56" s="178"/>
      <c r="I56" s="178"/>
      <c r="J56" s="178"/>
      <c r="K56" s="179"/>
      <c r="L56" s="178"/>
      <c r="M56" s="178"/>
      <c r="N56" s="190">
        <v>11</v>
      </c>
      <c r="O56" s="190">
        <v>9</v>
      </c>
      <c r="P56" s="190">
        <v>11</v>
      </c>
      <c r="Q56" s="189" t="s">
        <v>427</v>
      </c>
      <c r="R56" s="265">
        <v>4</v>
      </c>
      <c r="S56" s="195">
        <f t="shared" si="2"/>
        <v>1843.7693738375685</v>
      </c>
      <c r="T56" s="264"/>
      <c r="U56" s="259"/>
    </row>
    <row r="57" spans="1:21" hidden="1">
      <c r="A57" s="189">
        <v>21</v>
      </c>
      <c r="B57" s="190" t="s">
        <v>239</v>
      </c>
      <c r="C57" s="189" t="s">
        <v>4</v>
      </c>
      <c r="D57" s="189"/>
      <c r="E57" s="189"/>
      <c r="F57" s="189"/>
      <c r="G57" s="178"/>
      <c r="H57" s="178"/>
      <c r="I57" s="178"/>
      <c r="J57" s="178"/>
      <c r="K57" s="179"/>
      <c r="L57" s="178"/>
      <c r="M57" s="178"/>
      <c r="N57" s="190">
        <v>10</v>
      </c>
      <c r="O57" s="190">
        <v>9</v>
      </c>
      <c r="P57" s="190">
        <v>11</v>
      </c>
      <c r="Q57" s="189"/>
      <c r="R57" s="265">
        <v>1</v>
      </c>
      <c r="S57" s="195">
        <f t="shared" si="2"/>
        <v>460.94234345939213</v>
      </c>
      <c r="T57" s="264"/>
      <c r="U57" s="259"/>
    </row>
    <row r="58" spans="1:21" hidden="1">
      <c r="A58" s="189">
        <v>22</v>
      </c>
      <c r="B58" s="190" t="s">
        <v>240</v>
      </c>
      <c r="C58" s="189" t="s">
        <v>4</v>
      </c>
      <c r="D58" s="189"/>
      <c r="E58" s="189"/>
      <c r="F58" s="189"/>
      <c r="G58" s="178"/>
      <c r="H58" s="178"/>
      <c r="I58" s="178"/>
      <c r="J58" s="178"/>
      <c r="K58" s="179"/>
      <c r="L58" s="178"/>
      <c r="M58" s="178"/>
      <c r="N58" s="190">
        <v>13</v>
      </c>
      <c r="O58" s="190">
        <v>10</v>
      </c>
      <c r="P58" s="190">
        <v>11</v>
      </c>
      <c r="Q58" s="189"/>
      <c r="R58" s="265">
        <v>1</v>
      </c>
      <c r="S58" s="195">
        <f t="shared" si="2"/>
        <v>460.94234345939213</v>
      </c>
      <c r="T58" s="264"/>
      <c r="U58" s="259"/>
    </row>
    <row r="59" spans="1:21" hidden="1">
      <c r="A59" s="189">
        <v>23</v>
      </c>
      <c r="B59" s="190" t="s">
        <v>243</v>
      </c>
      <c r="C59" s="189" t="s">
        <v>4</v>
      </c>
      <c r="D59" s="189"/>
      <c r="E59" s="189"/>
      <c r="F59" s="189"/>
      <c r="G59" s="178"/>
      <c r="H59" s="178"/>
      <c r="I59" s="178"/>
      <c r="J59" s="178"/>
      <c r="K59" s="179"/>
      <c r="L59" s="178"/>
      <c r="M59" s="178"/>
      <c r="N59" s="190">
        <v>9</v>
      </c>
      <c r="O59" s="190">
        <v>8</v>
      </c>
      <c r="P59" s="190">
        <v>10</v>
      </c>
      <c r="Q59" s="189"/>
      <c r="R59" s="265">
        <v>1</v>
      </c>
      <c r="S59" s="195">
        <f t="shared" si="2"/>
        <v>460.94234345939213</v>
      </c>
      <c r="T59" s="264"/>
      <c r="U59" s="259"/>
    </row>
    <row r="60" spans="1:21" hidden="1">
      <c r="A60" s="189">
        <v>24</v>
      </c>
      <c r="B60" s="190" t="s">
        <v>246</v>
      </c>
      <c r="C60" s="189" t="s">
        <v>4</v>
      </c>
      <c r="D60" s="189"/>
      <c r="E60" s="189"/>
      <c r="F60" s="189"/>
      <c r="G60" s="178"/>
      <c r="H60" s="178"/>
      <c r="I60" s="178"/>
      <c r="J60" s="178"/>
      <c r="K60" s="179"/>
      <c r="L60" s="178"/>
      <c r="M60" s="178"/>
      <c r="N60" s="190">
        <v>9</v>
      </c>
      <c r="O60" s="190">
        <v>8</v>
      </c>
      <c r="P60" s="190">
        <v>10</v>
      </c>
      <c r="Q60" s="189"/>
      <c r="R60" s="265">
        <v>1</v>
      </c>
      <c r="S60" s="195">
        <f t="shared" si="2"/>
        <v>460.94234345939213</v>
      </c>
      <c r="T60" s="264"/>
      <c r="U60" s="259"/>
    </row>
    <row r="61" spans="1:21" hidden="1">
      <c r="A61" s="189">
        <v>25</v>
      </c>
      <c r="B61" s="190" t="s">
        <v>249</v>
      </c>
      <c r="C61" s="189" t="s">
        <v>4</v>
      </c>
      <c r="D61" s="189"/>
      <c r="E61" s="189"/>
      <c r="F61" s="189"/>
      <c r="G61" s="178"/>
      <c r="H61" s="178"/>
      <c r="I61" s="178"/>
      <c r="J61" s="178"/>
      <c r="K61" s="179"/>
      <c r="L61" s="178"/>
      <c r="M61" s="178"/>
      <c r="N61" s="190">
        <v>10</v>
      </c>
      <c r="O61" s="190">
        <v>8</v>
      </c>
      <c r="P61" s="190">
        <v>10</v>
      </c>
      <c r="Q61" s="189"/>
      <c r="R61" s="265">
        <v>1</v>
      </c>
      <c r="S61" s="195">
        <f t="shared" si="2"/>
        <v>460.94234345939213</v>
      </c>
      <c r="T61" s="264"/>
      <c r="U61" s="259"/>
    </row>
    <row r="62" spans="1:21" s="186" customFormat="1" hidden="1">
      <c r="A62" s="191">
        <v>4</v>
      </c>
      <c r="B62" s="197" t="s">
        <v>250</v>
      </c>
      <c r="C62" s="196"/>
      <c r="D62" s="196"/>
      <c r="E62" s="196"/>
      <c r="F62" s="196"/>
      <c r="G62" s="198"/>
      <c r="H62" s="198"/>
      <c r="I62" s="198"/>
      <c r="J62" s="198"/>
      <c r="K62" s="198"/>
      <c r="L62" s="198"/>
      <c r="M62" s="198"/>
      <c r="N62" s="197"/>
      <c r="O62" s="197"/>
      <c r="P62" s="197"/>
      <c r="Q62" s="196"/>
      <c r="R62" s="202"/>
      <c r="S62" s="192">
        <f>SUM(S63:S68)</f>
        <v>3042.219466831988</v>
      </c>
      <c r="T62" s="263"/>
      <c r="U62" s="260"/>
    </row>
    <row r="63" spans="1:21" hidden="1">
      <c r="A63" s="189">
        <v>1</v>
      </c>
      <c r="B63" s="190" t="s">
        <v>255</v>
      </c>
      <c r="C63" s="189" t="s">
        <v>195</v>
      </c>
      <c r="D63" s="189" t="s">
        <v>427</v>
      </c>
      <c r="E63" s="189"/>
      <c r="F63" s="189"/>
      <c r="G63" s="178" t="s">
        <v>427</v>
      </c>
      <c r="H63" s="178"/>
      <c r="I63" s="178"/>
      <c r="J63" s="178"/>
      <c r="K63" s="179"/>
      <c r="L63" s="178"/>
      <c r="M63" s="178"/>
      <c r="N63" s="190">
        <v>19</v>
      </c>
      <c r="O63" s="190">
        <v>15</v>
      </c>
      <c r="P63" s="190">
        <v>18</v>
      </c>
      <c r="Q63" s="189"/>
      <c r="R63" s="265">
        <v>1</v>
      </c>
      <c r="S63" s="195">
        <f t="shared" ref="S63:S68" si="3">R63*$V$17</f>
        <v>460.94234345939213</v>
      </c>
      <c r="T63" s="264">
        <v>1.3</v>
      </c>
      <c r="U63" s="183">
        <f>COUNTIF(R63:R68, "=1,3")</f>
        <v>2</v>
      </c>
    </row>
    <row r="64" spans="1:21" hidden="1">
      <c r="A64" s="189">
        <v>2</v>
      </c>
      <c r="B64" s="190" t="s">
        <v>254</v>
      </c>
      <c r="C64" s="189" t="s">
        <v>195</v>
      </c>
      <c r="D64" s="189"/>
      <c r="E64" s="302" t="s">
        <v>427</v>
      </c>
      <c r="F64" s="189"/>
      <c r="G64" s="178" t="s">
        <v>427</v>
      </c>
      <c r="H64" s="178"/>
      <c r="I64" s="178"/>
      <c r="J64" s="178"/>
      <c r="K64" s="179"/>
      <c r="L64" s="178"/>
      <c r="M64" s="178"/>
      <c r="N64" s="190">
        <v>19</v>
      </c>
      <c r="O64" s="190">
        <v>16</v>
      </c>
      <c r="P64" s="190">
        <v>18</v>
      </c>
      <c r="Q64" s="189"/>
      <c r="R64" s="265">
        <v>1</v>
      </c>
      <c r="S64" s="195">
        <f t="shared" si="3"/>
        <v>460.94234345939213</v>
      </c>
      <c r="T64" s="264">
        <v>1</v>
      </c>
      <c r="U64" s="183">
        <f>COUNTIF(R63:R68, "=1,0")</f>
        <v>4</v>
      </c>
    </row>
    <row r="65" spans="1:21" hidden="1">
      <c r="A65" s="189">
        <v>3</v>
      </c>
      <c r="B65" s="190" t="s">
        <v>251</v>
      </c>
      <c r="C65" s="189" t="s">
        <v>195</v>
      </c>
      <c r="D65" s="189"/>
      <c r="E65" s="189"/>
      <c r="F65" s="189" t="s">
        <v>427</v>
      </c>
      <c r="G65" s="178" t="s">
        <v>427</v>
      </c>
      <c r="H65" s="178"/>
      <c r="I65" s="178"/>
      <c r="J65" s="178"/>
      <c r="K65" s="179"/>
      <c r="L65" s="178"/>
      <c r="M65" s="178"/>
      <c r="N65" s="190">
        <v>18</v>
      </c>
      <c r="O65" s="190">
        <v>15</v>
      </c>
      <c r="P65" s="190">
        <v>17</v>
      </c>
      <c r="Q65" s="189"/>
      <c r="R65" s="265">
        <v>1</v>
      </c>
      <c r="S65" s="195">
        <f t="shared" si="3"/>
        <v>460.94234345939213</v>
      </c>
      <c r="T65" s="264">
        <v>4</v>
      </c>
      <c r="U65" s="183">
        <f>COUNTIF(R63:R68, "=4,0")</f>
        <v>0</v>
      </c>
    </row>
    <row r="66" spans="1:21" hidden="1">
      <c r="A66" s="189">
        <v>4</v>
      </c>
      <c r="B66" s="190" t="s">
        <v>252</v>
      </c>
      <c r="C66" s="189" t="s">
        <v>195</v>
      </c>
      <c r="D66" s="189"/>
      <c r="E66" s="189"/>
      <c r="F66" s="189"/>
      <c r="G66" s="178" t="s">
        <v>427</v>
      </c>
      <c r="H66" s="178"/>
      <c r="I66" s="178"/>
      <c r="J66" s="178"/>
      <c r="K66" s="179"/>
      <c r="L66" s="178"/>
      <c r="M66" s="178"/>
      <c r="N66" s="190">
        <v>19</v>
      </c>
      <c r="O66" s="190">
        <v>14</v>
      </c>
      <c r="P66" s="190">
        <v>16</v>
      </c>
      <c r="Q66" s="189"/>
      <c r="R66" s="265">
        <v>1</v>
      </c>
      <c r="S66" s="195">
        <f t="shared" si="3"/>
        <v>460.94234345939213</v>
      </c>
      <c r="T66" s="183"/>
    </row>
    <row r="67" spans="1:21">
      <c r="A67" s="189">
        <v>5</v>
      </c>
      <c r="B67" s="190" t="s">
        <v>253</v>
      </c>
      <c r="C67" s="189" t="s">
        <v>197</v>
      </c>
      <c r="D67" s="189"/>
      <c r="E67" s="189"/>
      <c r="F67" s="189"/>
      <c r="G67" s="178"/>
      <c r="H67" s="182" t="s">
        <v>427</v>
      </c>
      <c r="I67" s="182"/>
      <c r="J67" s="182"/>
      <c r="K67" s="179"/>
      <c r="L67" s="178"/>
      <c r="M67" s="178"/>
      <c r="N67" s="190">
        <v>9</v>
      </c>
      <c r="O67" s="190">
        <v>8</v>
      </c>
      <c r="P67" s="190">
        <v>15</v>
      </c>
      <c r="Q67" s="189"/>
      <c r="R67" s="265">
        <v>1.3</v>
      </c>
      <c r="S67" s="195">
        <f t="shared" si="3"/>
        <v>599.22504649720975</v>
      </c>
      <c r="T67" s="183"/>
    </row>
    <row r="68" spans="1:21">
      <c r="A68" s="189">
        <v>6</v>
      </c>
      <c r="B68" s="190" t="s">
        <v>256</v>
      </c>
      <c r="C68" s="189" t="s">
        <v>507</v>
      </c>
      <c r="D68" s="189"/>
      <c r="E68" s="189"/>
      <c r="F68" s="189"/>
      <c r="G68" s="179"/>
      <c r="H68" s="179"/>
      <c r="I68" s="179"/>
      <c r="J68" s="179" t="s">
        <v>427</v>
      </c>
      <c r="K68" s="179" t="s">
        <v>427</v>
      </c>
      <c r="L68" s="178"/>
      <c r="M68" s="178"/>
      <c r="N68" s="190">
        <v>9</v>
      </c>
      <c r="O68" s="190">
        <v>7</v>
      </c>
      <c r="P68" s="190">
        <v>11</v>
      </c>
      <c r="Q68" s="189"/>
      <c r="R68" s="265">
        <v>1.3</v>
      </c>
      <c r="S68" s="195">
        <f t="shared" si="3"/>
        <v>599.22504649720975</v>
      </c>
      <c r="T68" s="264"/>
      <c r="U68" s="259"/>
    </row>
    <row r="69" spans="1:21" s="186" customFormat="1" hidden="1">
      <c r="A69" s="191">
        <v>5</v>
      </c>
      <c r="B69" s="192" t="s">
        <v>185</v>
      </c>
      <c r="C69" s="191"/>
      <c r="D69" s="191"/>
      <c r="E69" s="191"/>
      <c r="F69" s="191"/>
      <c r="G69" s="200"/>
      <c r="H69" s="198"/>
      <c r="I69" s="198"/>
      <c r="J69" s="198"/>
      <c r="K69" s="198"/>
      <c r="L69" s="198"/>
      <c r="M69" s="198"/>
      <c r="N69" s="197"/>
      <c r="O69" s="197"/>
      <c r="P69" s="197"/>
      <c r="Q69" s="196"/>
      <c r="R69" s="202"/>
      <c r="S69" s="192">
        <f>SUM(S70:S99)</f>
        <v>22816.646001239904</v>
      </c>
      <c r="T69" s="263"/>
      <c r="U69" s="260"/>
    </row>
    <row r="70" spans="1:21">
      <c r="A70" s="189">
        <v>1</v>
      </c>
      <c r="B70" s="190" t="s">
        <v>270</v>
      </c>
      <c r="C70" s="189" t="s">
        <v>505</v>
      </c>
      <c r="D70" s="189"/>
      <c r="E70" s="189"/>
      <c r="F70" s="189"/>
      <c r="G70" s="180"/>
      <c r="H70" s="178"/>
      <c r="I70" s="178" t="s">
        <v>427</v>
      </c>
      <c r="J70" s="178"/>
      <c r="K70" s="179"/>
      <c r="L70" s="178"/>
      <c r="M70" s="178"/>
      <c r="N70" s="190">
        <v>13</v>
      </c>
      <c r="O70" s="190">
        <v>12</v>
      </c>
      <c r="P70" s="190">
        <v>20</v>
      </c>
      <c r="Q70" s="189"/>
      <c r="R70" s="265">
        <v>1.3</v>
      </c>
      <c r="S70" s="195">
        <f t="shared" ref="S70:S77" si="4">R70*$V$17</f>
        <v>599.22504649720975</v>
      </c>
      <c r="T70" s="264">
        <v>4</v>
      </c>
      <c r="U70" s="183">
        <f>COUNTIF(R70:R99, "=4")</f>
        <v>6</v>
      </c>
    </row>
    <row r="71" spans="1:21">
      <c r="A71" s="189">
        <v>2</v>
      </c>
      <c r="B71" s="190" t="s">
        <v>274</v>
      </c>
      <c r="C71" s="189" t="s">
        <v>505</v>
      </c>
      <c r="D71" s="189"/>
      <c r="E71" s="189"/>
      <c r="F71" s="189"/>
      <c r="G71" s="180"/>
      <c r="H71" s="178"/>
      <c r="I71" s="178" t="s">
        <v>427</v>
      </c>
      <c r="J71" s="178"/>
      <c r="K71" s="179"/>
      <c r="L71" s="178"/>
      <c r="M71" s="178"/>
      <c r="N71" s="190">
        <v>12</v>
      </c>
      <c r="O71" s="190">
        <v>12</v>
      </c>
      <c r="P71" s="190">
        <v>20</v>
      </c>
      <c r="Q71" s="189"/>
      <c r="R71" s="265">
        <v>1.3</v>
      </c>
      <c r="S71" s="195">
        <f t="shared" si="4"/>
        <v>599.22504649720975</v>
      </c>
      <c r="T71" s="264">
        <v>1</v>
      </c>
      <c r="U71" s="183">
        <f>COUNTIF(R70:R99, "=1,0")</f>
        <v>19</v>
      </c>
    </row>
    <row r="72" spans="1:21" hidden="1">
      <c r="A72" s="189">
        <v>3</v>
      </c>
      <c r="B72" s="190" t="s">
        <v>285</v>
      </c>
      <c r="C72" s="189" t="s">
        <v>195</v>
      </c>
      <c r="D72" s="189"/>
      <c r="E72" s="189"/>
      <c r="F72" s="189"/>
      <c r="G72" s="180"/>
      <c r="H72" s="181" t="s">
        <v>427</v>
      </c>
      <c r="I72" s="181" t="s">
        <v>427</v>
      </c>
      <c r="J72" s="181"/>
      <c r="K72" s="179"/>
      <c r="L72" s="178"/>
      <c r="M72" s="178"/>
      <c r="N72" s="190">
        <v>11</v>
      </c>
      <c r="O72" s="190">
        <v>11</v>
      </c>
      <c r="P72" s="190">
        <v>20</v>
      </c>
      <c r="Q72" s="189"/>
      <c r="R72" s="265">
        <v>1</v>
      </c>
      <c r="S72" s="195">
        <f t="shared" si="4"/>
        <v>460.94234345939213</v>
      </c>
      <c r="T72" s="264">
        <v>1.3</v>
      </c>
      <c r="U72" s="183">
        <f>COUNTIF(R70:R99, "=1,3")</f>
        <v>5</v>
      </c>
    </row>
    <row r="73" spans="1:21">
      <c r="A73" s="189">
        <v>4</v>
      </c>
      <c r="B73" s="190" t="s">
        <v>268</v>
      </c>
      <c r="C73" s="189" t="s">
        <v>505</v>
      </c>
      <c r="D73" s="189"/>
      <c r="E73" s="189"/>
      <c r="F73" s="189"/>
      <c r="G73" s="180"/>
      <c r="H73" s="178"/>
      <c r="I73" s="178" t="s">
        <v>427</v>
      </c>
      <c r="J73" s="178"/>
      <c r="K73" s="179"/>
      <c r="L73" s="178"/>
      <c r="M73" s="178"/>
      <c r="N73" s="190">
        <v>13</v>
      </c>
      <c r="O73" s="190">
        <v>11</v>
      </c>
      <c r="P73" s="190">
        <v>20</v>
      </c>
      <c r="Q73" s="189"/>
      <c r="R73" s="265">
        <v>1.3</v>
      </c>
      <c r="S73" s="195">
        <f t="shared" si="4"/>
        <v>599.22504649720975</v>
      </c>
      <c r="T73" s="264"/>
      <c r="U73" s="259"/>
    </row>
    <row r="74" spans="1:21" hidden="1">
      <c r="A74" s="189">
        <v>5</v>
      </c>
      <c r="B74" s="190" t="s">
        <v>263</v>
      </c>
      <c r="C74" s="189" t="s">
        <v>195</v>
      </c>
      <c r="D74" s="189"/>
      <c r="E74" s="189"/>
      <c r="F74" s="189"/>
      <c r="G74" s="180"/>
      <c r="H74" s="182" t="s">
        <v>427</v>
      </c>
      <c r="I74" s="182" t="s">
        <v>427</v>
      </c>
      <c r="J74" s="182"/>
      <c r="K74" s="179"/>
      <c r="L74" s="178"/>
      <c r="M74" s="178"/>
      <c r="N74" s="190">
        <v>11</v>
      </c>
      <c r="O74" s="190">
        <v>11</v>
      </c>
      <c r="P74" s="190">
        <v>20</v>
      </c>
      <c r="Q74" s="189"/>
      <c r="R74" s="265">
        <v>1</v>
      </c>
      <c r="S74" s="195">
        <f t="shared" si="4"/>
        <v>460.94234345939213</v>
      </c>
      <c r="T74" s="264"/>
      <c r="U74" s="259"/>
    </row>
    <row r="75" spans="1:21" hidden="1">
      <c r="A75" s="189">
        <v>6</v>
      </c>
      <c r="B75" s="190" t="s">
        <v>267</v>
      </c>
      <c r="C75" s="189" t="s">
        <v>195</v>
      </c>
      <c r="D75" s="189"/>
      <c r="E75" s="189"/>
      <c r="F75" s="189"/>
      <c r="G75" s="180" t="s">
        <v>427</v>
      </c>
      <c r="H75" s="204"/>
      <c r="I75" s="204"/>
      <c r="J75" s="204"/>
      <c r="K75" s="179"/>
      <c r="L75" s="178"/>
      <c r="M75" s="178"/>
      <c r="N75" s="190">
        <v>19</v>
      </c>
      <c r="O75" s="190">
        <v>20</v>
      </c>
      <c r="P75" s="190">
        <v>19</v>
      </c>
      <c r="Q75" s="189"/>
      <c r="R75" s="265">
        <v>1</v>
      </c>
      <c r="S75" s="195">
        <f t="shared" si="4"/>
        <v>460.94234345939213</v>
      </c>
    </row>
    <row r="76" spans="1:21" hidden="1">
      <c r="A76" s="189">
        <v>7</v>
      </c>
      <c r="B76" s="190" t="s">
        <v>260</v>
      </c>
      <c r="C76" s="189" t="s">
        <v>195</v>
      </c>
      <c r="D76" s="189"/>
      <c r="E76" s="189"/>
      <c r="F76" s="189"/>
      <c r="G76" s="180" t="s">
        <v>427</v>
      </c>
      <c r="H76" s="178"/>
      <c r="I76" s="178"/>
      <c r="J76" s="178"/>
      <c r="K76" s="179"/>
      <c r="L76" s="178"/>
      <c r="M76" s="178"/>
      <c r="N76" s="190">
        <v>19</v>
      </c>
      <c r="O76" s="190">
        <v>20</v>
      </c>
      <c r="P76" s="190">
        <v>19</v>
      </c>
      <c r="Q76" s="189"/>
      <c r="R76" s="265">
        <v>1</v>
      </c>
      <c r="S76" s="195">
        <f t="shared" si="4"/>
        <v>460.94234345939213</v>
      </c>
      <c r="T76" s="264"/>
      <c r="U76" s="259"/>
    </row>
    <row r="77" spans="1:21" hidden="1">
      <c r="A77" s="189">
        <v>8</v>
      </c>
      <c r="B77" s="190" t="s">
        <v>262</v>
      </c>
      <c r="C77" s="189" t="s">
        <v>195</v>
      </c>
      <c r="D77" s="189"/>
      <c r="E77" s="189"/>
      <c r="F77" s="189"/>
      <c r="G77" s="180" t="s">
        <v>427</v>
      </c>
      <c r="H77" s="178"/>
      <c r="I77" s="178"/>
      <c r="J77" s="178"/>
      <c r="K77" s="179"/>
      <c r="L77" s="178"/>
      <c r="M77" s="178"/>
      <c r="N77" s="190">
        <v>19</v>
      </c>
      <c r="O77" s="190">
        <v>20</v>
      </c>
      <c r="P77" s="190">
        <v>19</v>
      </c>
      <c r="Q77" s="189"/>
      <c r="R77" s="265">
        <v>1</v>
      </c>
      <c r="S77" s="195">
        <f t="shared" si="4"/>
        <v>460.94234345939213</v>
      </c>
      <c r="T77" s="264"/>
      <c r="U77" s="259"/>
    </row>
    <row r="78" spans="1:21" hidden="1">
      <c r="A78" s="189">
        <v>9</v>
      </c>
      <c r="B78" s="190" t="s">
        <v>261</v>
      </c>
      <c r="C78" s="189" t="s">
        <v>195</v>
      </c>
      <c r="D78" s="189"/>
      <c r="E78" s="189"/>
      <c r="F78" s="189"/>
      <c r="G78" s="180" t="s">
        <v>427</v>
      </c>
      <c r="H78" s="178"/>
      <c r="I78" s="178"/>
      <c r="J78" s="178"/>
      <c r="K78" s="179"/>
      <c r="L78" s="178"/>
      <c r="M78" s="178"/>
      <c r="N78" s="190">
        <v>18</v>
      </c>
      <c r="O78" s="190">
        <v>19</v>
      </c>
      <c r="P78" s="190">
        <v>19</v>
      </c>
      <c r="Q78" s="189"/>
      <c r="R78" s="265">
        <v>1</v>
      </c>
      <c r="S78" s="195">
        <f t="shared" ref="S78:S99" si="5">R78*$V$17</f>
        <v>460.94234345939213</v>
      </c>
      <c r="T78" s="264"/>
      <c r="U78" s="259"/>
    </row>
    <row r="79" spans="1:21" hidden="1">
      <c r="A79" s="189">
        <v>10</v>
      </c>
      <c r="B79" s="190" t="s">
        <v>281</v>
      </c>
      <c r="C79" s="189" t="s">
        <v>195</v>
      </c>
      <c r="D79" s="189"/>
      <c r="E79" s="302" t="s">
        <v>427</v>
      </c>
      <c r="F79" s="189"/>
      <c r="G79" s="178" t="s">
        <v>427</v>
      </c>
      <c r="H79" s="178"/>
      <c r="I79" s="178"/>
      <c r="J79" s="178"/>
      <c r="K79" s="179"/>
      <c r="L79" s="178"/>
      <c r="M79" s="178"/>
      <c r="N79" s="190">
        <v>19</v>
      </c>
      <c r="O79" s="190">
        <v>20</v>
      </c>
      <c r="P79" s="190">
        <v>18</v>
      </c>
      <c r="Q79" s="189"/>
      <c r="R79" s="265">
        <v>1</v>
      </c>
      <c r="S79" s="195">
        <f>R79*$V$17</f>
        <v>460.94234345939213</v>
      </c>
    </row>
    <row r="80" spans="1:21" hidden="1">
      <c r="A80" s="189">
        <v>11</v>
      </c>
      <c r="B80" s="190" t="s">
        <v>257</v>
      </c>
      <c r="C80" s="189" t="s">
        <v>195</v>
      </c>
      <c r="D80" s="189"/>
      <c r="E80" s="189"/>
      <c r="F80" s="189" t="s">
        <v>427</v>
      </c>
      <c r="G80" s="180" t="s">
        <v>427</v>
      </c>
      <c r="H80" s="178"/>
      <c r="I80" s="178"/>
      <c r="J80" s="178"/>
      <c r="K80" s="179"/>
      <c r="L80" s="178"/>
      <c r="M80" s="178"/>
      <c r="N80" s="190">
        <v>18</v>
      </c>
      <c r="O80" s="190">
        <v>19</v>
      </c>
      <c r="P80" s="190">
        <v>18</v>
      </c>
      <c r="Q80" s="189"/>
      <c r="R80" s="265">
        <v>1</v>
      </c>
      <c r="S80" s="195">
        <f>R80*$V$17</f>
        <v>460.94234345939213</v>
      </c>
      <c r="T80" s="183"/>
    </row>
    <row r="81" spans="1:21" hidden="1">
      <c r="A81" s="189">
        <v>12</v>
      </c>
      <c r="B81" s="190" t="s">
        <v>280</v>
      </c>
      <c r="C81" s="189" t="s">
        <v>195</v>
      </c>
      <c r="D81" s="189"/>
      <c r="E81" s="302" t="s">
        <v>427</v>
      </c>
      <c r="F81" s="189"/>
      <c r="G81" s="178" t="s">
        <v>427</v>
      </c>
      <c r="H81" s="178"/>
      <c r="I81" s="178"/>
      <c r="J81" s="178"/>
      <c r="K81" s="179"/>
      <c r="L81" s="178"/>
      <c r="M81" s="178"/>
      <c r="N81" s="190">
        <v>18</v>
      </c>
      <c r="O81" s="190">
        <v>19</v>
      </c>
      <c r="P81" s="190">
        <v>18</v>
      </c>
      <c r="Q81" s="189"/>
      <c r="R81" s="265">
        <v>1</v>
      </c>
      <c r="S81" s="195">
        <f>R81*$V$17</f>
        <v>460.94234345939213</v>
      </c>
      <c r="T81" s="264"/>
      <c r="U81" s="259"/>
    </row>
    <row r="82" spans="1:21" hidden="1">
      <c r="A82" s="189">
        <v>13</v>
      </c>
      <c r="B82" s="190" t="s">
        <v>259</v>
      </c>
      <c r="C82" s="189" t="s">
        <v>195</v>
      </c>
      <c r="D82" s="189"/>
      <c r="E82" s="189"/>
      <c r="F82" s="189" t="s">
        <v>427</v>
      </c>
      <c r="G82" s="180" t="s">
        <v>427</v>
      </c>
      <c r="H82" s="178"/>
      <c r="I82" s="178"/>
      <c r="J82" s="178"/>
      <c r="K82" s="179"/>
      <c r="L82" s="178"/>
      <c r="M82" s="178"/>
      <c r="N82" s="190">
        <v>18</v>
      </c>
      <c r="O82" s="190">
        <v>19</v>
      </c>
      <c r="P82" s="190">
        <v>18</v>
      </c>
      <c r="Q82" s="189"/>
      <c r="R82" s="265">
        <v>1</v>
      </c>
      <c r="S82" s="195">
        <f>R82*$V$17</f>
        <v>460.94234345939213</v>
      </c>
      <c r="T82" s="183"/>
    </row>
    <row r="83" spans="1:21" hidden="1">
      <c r="A83" s="189">
        <v>14</v>
      </c>
      <c r="B83" s="190" t="s">
        <v>258</v>
      </c>
      <c r="C83" s="189" t="s">
        <v>195</v>
      </c>
      <c r="D83" s="189"/>
      <c r="E83" s="189"/>
      <c r="F83" s="189" t="s">
        <v>427</v>
      </c>
      <c r="G83" s="180" t="s">
        <v>427</v>
      </c>
      <c r="H83" s="178"/>
      <c r="I83" s="178"/>
      <c r="J83" s="178"/>
      <c r="K83" s="179"/>
      <c r="L83" s="178"/>
      <c r="M83" s="178"/>
      <c r="N83" s="190">
        <v>19</v>
      </c>
      <c r="O83" s="190">
        <v>20</v>
      </c>
      <c r="P83" s="190">
        <v>16</v>
      </c>
      <c r="Q83" s="189"/>
      <c r="R83" s="265">
        <v>1</v>
      </c>
      <c r="S83" s="195">
        <f>R83*$V$17</f>
        <v>460.94234345939213</v>
      </c>
    </row>
    <row r="84" spans="1:21" hidden="1">
      <c r="A84" s="189">
        <v>15</v>
      </c>
      <c r="B84" s="190" t="s">
        <v>273</v>
      </c>
      <c r="C84" s="189" t="s">
        <v>4</v>
      </c>
      <c r="D84" s="189"/>
      <c r="E84" s="189"/>
      <c r="F84" s="189"/>
      <c r="G84" s="180"/>
      <c r="H84" s="178"/>
      <c r="I84" s="178"/>
      <c r="J84" s="178"/>
      <c r="K84" s="179"/>
      <c r="L84" s="178"/>
      <c r="M84" s="178"/>
      <c r="N84" s="190">
        <v>12</v>
      </c>
      <c r="O84" s="190">
        <v>13</v>
      </c>
      <c r="P84" s="190">
        <v>13</v>
      </c>
      <c r="Q84" s="189"/>
      <c r="R84" s="265">
        <v>1</v>
      </c>
      <c r="S84" s="195">
        <f t="shared" si="5"/>
        <v>460.94234345939213</v>
      </c>
      <c r="T84" s="264"/>
      <c r="U84" s="259"/>
    </row>
    <row r="85" spans="1:21" hidden="1">
      <c r="A85" s="189">
        <v>16</v>
      </c>
      <c r="B85" s="190" t="s">
        <v>269</v>
      </c>
      <c r="C85" s="189" t="s">
        <v>4</v>
      </c>
      <c r="D85" s="189"/>
      <c r="E85" s="189"/>
      <c r="F85" s="189"/>
      <c r="G85" s="180"/>
      <c r="H85" s="178"/>
      <c r="I85" s="178"/>
      <c r="J85" s="178"/>
      <c r="K85" s="179"/>
      <c r="L85" s="178"/>
      <c r="M85" s="178"/>
      <c r="N85" s="190">
        <v>13</v>
      </c>
      <c r="O85" s="190">
        <v>13</v>
      </c>
      <c r="P85" s="190">
        <v>13</v>
      </c>
      <c r="Q85" s="189"/>
      <c r="R85" s="265">
        <v>1</v>
      </c>
      <c r="S85" s="195">
        <f t="shared" si="5"/>
        <v>460.94234345939213</v>
      </c>
      <c r="T85" s="264"/>
      <c r="U85" s="259"/>
    </row>
    <row r="86" spans="1:21" hidden="1">
      <c r="A86" s="189">
        <v>17</v>
      </c>
      <c r="B86" s="190" t="s">
        <v>271</v>
      </c>
      <c r="C86" s="189" t="s">
        <v>4</v>
      </c>
      <c r="D86" s="189"/>
      <c r="E86" s="189"/>
      <c r="F86" s="189"/>
      <c r="G86" s="180"/>
      <c r="H86" s="178"/>
      <c r="I86" s="178"/>
      <c r="J86" s="178"/>
      <c r="K86" s="179"/>
      <c r="L86" s="178"/>
      <c r="M86" s="178"/>
      <c r="N86" s="190">
        <v>12</v>
      </c>
      <c r="O86" s="190">
        <v>12</v>
      </c>
      <c r="P86" s="190">
        <v>12</v>
      </c>
      <c r="Q86" s="189"/>
      <c r="R86" s="265">
        <v>1</v>
      </c>
      <c r="S86" s="195">
        <f t="shared" si="5"/>
        <v>460.94234345939213</v>
      </c>
      <c r="T86" s="264"/>
      <c r="U86" s="259"/>
    </row>
    <row r="87" spans="1:21" hidden="1">
      <c r="A87" s="189">
        <v>18</v>
      </c>
      <c r="B87" s="190" t="s">
        <v>283</v>
      </c>
      <c r="C87" s="189" t="s">
        <v>4</v>
      </c>
      <c r="D87" s="189"/>
      <c r="E87" s="189"/>
      <c r="F87" s="189"/>
      <c r="G87" s="180"/>
      <c r="H87" s="180"/>
      <c r="I87" s="180"/>
      <c r="J87" s="180"/>
      <c r="K87" s="179"/>
      <c r="L87" s="178"/>
      <c r="M87" s="178"/>
      <c r="N87" s="190">
        <v>11</v>
      </c>
      <c r="O87" s="190">
        <v>12</v>
      </c>
      <c r="P87" s="190">
        <v>12</v>
      </c>
      <c r="Q87" s="189"/>
      <c r="R87" s="265">
        <v>1</v>
      </c>
      <c r="S87" s="195">
        <f t="shared" si="5"/>
        <v>460.94234345939213</v>
      </c>
      <c r="T87" s="264"/>
      <c r="U87" s="259"/>
    </row>
    <row r="88" spans="1:21">
      <c r="A88" s="189">
        <v>19</v>
      </c>
      <c r="B88" s="190" t="s">
        <v>286</v>
      </c>
      <c r="C88" s="189" t="s">
        <v>507</v>
      </c>
      <c r="D88" s="189"/>
      <c r="E88" s="189"/>
      <c r="F88" s="189"/>
      <c r="G88" s="180"/>
      <c r="H88" s="180"/>
      <c r="I88" s="180"/>
      <c r="J88" s="180" t="s">
        <v>427</v>
      </c>
      <c r="K88" s="179"/>
      <c r="L88" s="178"/>
      <c r="M88" s="178"/>
      <c r="N88" s="190">
        <v>12</v>
      </c>
      <c r="O88" s="190">
        <v>12</v>
      </c>
      <c r="P88" s="190">
        <v>12</v>
      </c>
      <c r="Q88" s="189"/>
      <c r="R88" s="265">
        <v>1.3</v>
      </c>
      <c r="S88" s="195">
        <f t="shared" si="5"/>
        <v>599.22504649720975</v>
      </c>
      <c r="T88" s="264"/>
      <c r="U88" s="259"/>
    </row>
    <row r="89" spans="1:21" hidden="1">
      <c r="A89" s="189">
        <v>20</v>
      </c>
      <c r="B89" s="190" t="s">
        <v>272</v>
      </c>
      <c r="C89" s="189" t="s">
        <v>4</v>
      </c>
      <c r="D89" s="189"/>
      <c r="E89" s="189"/>
      <c r="F89" s="189"/>
      <c r="G89" s="180"/>
      <c r="H89" s="178"/>
      <c r="I89" s="178"/>
      <c r="J89" s="178"/>
      <c r="K89" s="179"/>
      <c r="L89" s="178"/>
      <c r="M89" s="178"/>
      <c r="N89" s="190">
        <v>11</v>
      </c>
      <c r="O89" s="190">
        <v>11</v>
      </c>
      <c r="P89" s="190">
        <v>12</v>
      </c>
      <c r="Q89" s="189"/>
      <c r="R89" s="265">
        <v>1</v>
      </c>
      <c r="S89" s="195">
        <f>R89*$V$17</f>
        <v>460.94234345939213</v>
      </c>
      <c r="T89" s="264"/>
      <c r="U89" s="259"/>
    </row>
    <row r="90" spans="1:21">
      <c r="A90" s="189">
        <v>21</v>
      </c>
      <c r="B90" s="190" t="s">
        <v>282</v>
      </c>
      <c r="C90" s="189" t="s">
        <v>507</v>
      </c>
      <c r="D90" s="189"/>
      <c r="E90" s="189"/>
      <c r="F90" s="189"/>
      <c r="G90" s="180"/>
      <c r="H90" s="180"/>
      <c r="I90" s="180"/>
      <c r="J90" s="180" t="s">
        <v>427</v>
      </c>
      <c r="K90" s="179"/>
      <c r="L90" s="178"/>
      <c r="M90" s="178"/>
      <c r="N90" s="190">
        <v>11</v>
      </c>
      <c r="O90" s="190">
        <v>11</v>
      </c>
      <c r="P90" s="190">
        <v>11</v>
      </c>
      <c r="Q90" s="189"/>
      <c r="R90" s="265">
        <v>1.3</v>
      </c>
      <c r="S90" s="195">
        <f t="shared" si="5"/>
        <v>599.22504649720975</v>
      </c>
      <c r="T90" s="264"/>
      <c r="U90" s="259"/>
    </row>
    <row r="91" spans="1:21" hidden="1">
      <c r="A91" s="189">
        <v>22</v>
      </c>
      <c r="B91" s="190" t="s">
        <v>284</v>
      </c>
      <c r="C91" s="189" t="s">
        <v>4</v>
      </c>
      <c r="D91" s="189"/>
      <c r="E91" s="189"/>
      <c r="F91" s="189"/>
      <c r="G91" s="180"/>
      <c r="H91" s="180"/>
      <c r="I91" s="180"/>
      <c r="J91" s="180"/>
      <c r="K91" s="179"/>
      <c r="L91" s="178"/>
      <c r="M91" s="178"/>
      <c r="N91" s="190">
        <v>10</v>
      </c>
      <c r="O91" s="190">
        <v>11</v>
      </c>
      <c r="P91" s="190">
        <v>11</v>
      </c>
      <c r="Q91" s="189"/>
      <c r="R91" s="265">
        <v>1</v>
      </c>
      <c r="S91" s="195">
        <f t="shared" si="5"/>
        <v>460.94234345939213</v>
      </c>
      <c r="T91" s="264"/>
      <c r="U91" s="259"/>
    </row>
    <row r="92" spans="1:21" hidden="1">
      <c r="A92" s="189">
        <v>23</v>
      </c>
      <c r="B92" s="190" t="s">
        <v>276</v>
      </c>
      <c r="C92" s="189" t="s">
        <v>204</v>
      </c>
      <c r="D92" s="189"/>
      <c r="E92" s="189"/>
      <c r="F92" s="189"/>
      <c r="G92" s="178"/>
      <c r="H92" s="178"/>
      <c r="I92" s="178"/>
      <c r="J92" s="178"/>
      <c r="K92" s="179"/>
      <c r="L92" s="178"/>
      <c r="M92" s="178"/>
      <c r="N92" s="190">
        <v>11</v>
      </c>
      <c r="O92" s="190">
        <v>11</v>
      </c>
      <c r="P92" s="190">
        <v>11</v>
      </c>
      <c r="Q92" s="189" t="s">
        <v>427</v>
      </c>
      <c r="R92" s="265">
        <v>4</v>
      </c>
      <c r="S92" s="195">
        <f t="shared" si="5"/>
        <v>1843.7693738375685</v>
      </c>
      <c r="T92" s="264"/>
      <c r="U92" s="259"/>
    </row>
    <row r="93" spans="1:21" hidden="1">
      <c r="A93" s="189">
        <v>24</v>
      </c>
      <c r="B93" s="190" t="s">
        <v>266</v>
      </c>
      <c r="C93" s="189" t="s">
        <v>204</v>
      </c>
      <c r="D93" s="189"/>
      <c r="E93" s="189"/>
      <c r="F93" s="189"/>
      <c r="G93" s="180"/>
      <c r="H93" s="178"/>
      <c r="I93" s="178"/>
      <c r="J93" s="178"/>
      <c r="K93" s="179"/>
      <c r="L93" s="178"/>
      <c r="M93" s="178"/>
      <c r="N93" s="190">
        <v>12</v>
      </c>
      <c r="O93" s="190">
        <v>11</v>
      </c>
      <c r="P93" s="190">
        <v>11</v>
      </c>
      <c r="Q93" s="189" t="s">
        <v>427</v>
      </c>
      <c r="R93" s="265">
        <v>4</v>
      </c>
      <c r="S93" s="195">
        <f t="shared" si="5"/>
        <v>1843.7693738375685</v>
      </c>
      <c r="T93" s="264"/>
      <c r="U93" s="259"/>
    </row>
    <row r="94" spans="1:21" hidden="1">
      <c r="A94" s="189">
        <v>25</v>
      </c>
      <c r="B94" s="190" t="s">
        <v>275</v>
      </c>
      <c r="C94" s="189" t="s">
        <v>4</v>
      </c>
      <c r="D94" s="189"/>
      <c r="E94" s="189"/>
      <c r="F94" s="189"/>
      <c r="G94" s="179"/>
      <c r="H94" s="179"/>
      <c r="I94" s="179"/>
      <c r="J94" s="179"/>
      <c r="K94" s="179"/>
      <c r="L94" s="178"/>
      <c r="M94" s="178"/>
      <c r="N94" s="190">
        <v>11</v>
      </c>
      <c r="O94" s="190">
        <v>11</v>
      </c>
      <c r="P94" s="190">
        <v>11</v>
      </c>
      <c r="Q94" s="189"/>
      <c r="R94" s="265">
        <v>1</v>
      </c>
      <c r="S94" s="195">
        <f t="shared" si="5"/>
        <v>460.94234345939213</v>
      </c>
      <c r="T94" s="264"/>
      <c r="U94" s="259"/>
    </row>
    <row r="95" spans="1:21" hidden="1">
      <c r="A95" s="189">
        <v>26</v>
      </c>
      <c r="B95" s="190" t="s">
        <v>279</v>
      </c>
      <c r="C95" s="189" t="s">
        <v>204</v>
      </c>
      <c r="D95" s="189"/>
      <c r="E95" s="189"/>
      <c r="F95" s="189"/>
      <c r="G95" s="178"/>
      <c r="H95" s="178"/>
      <c r="I95" s="178"/>
      <c r="J95" s="178"/>
      <c r="K95" s="179"/>
      <c r="L95" s="178"/>
      <c r="M95" s="178"/>
      <c r="N95" s="190">
        <v>11</v>
      </c>
      <c r="O95" s="190">
        <v>11</v>
      </c>
      <c r="P95" s="190">
        <v>11</v>
      </c>
      <c r="Q95" s="189" t="s">
        <v>427</v>
      </c>
      <c r="R95" s="265">
        <v>4</v>
      </c>
      <c r="S95" s="195">
        <f t="shared" si="5"/>
        <v>1843.7693738375685</v>
      </c>
      <c r="T95" s="264"/>
      <c r="U95" s="259"/>
    </row>
    <row r="96" spans="1:21" hidden="1">
      <c r="A96" s="189">
        <v>27</v>
      </c>
      <c r="B96" s="190" t="s">
        <v>278</v>
      </c>
      <c r="C96" s="189" t="s">
        <v>204</v>
      </c>
      <c r="D96" s="189"/>
      <c r="E96" s="189"/>
      <c r="F96" s="189"/>
      <c r="G96" s="178"/>
      <c r="H96" s="178"/>
      <c r="I96" s="178"/>
      <c r="J96" s="178"/>
      <c r="K96" s="179"/>
      <c r="L96" s="178"/>
      <c r="M96" s="178"/>
      <c r="N96" s="190">
        <v>11</v>
      </c>
      <c r="O96" s="190">
        <v>11</v>
      </c>
      <c r="P96" s="190">
        <v>11</v>
      </c>
      <c r="Q96" s="189" t="s">
        <v>427</v>
      </c>
      <c r="R96" s="265">
        <v>4</v>
      </c>
      <c r="S96" s="195">
        <f t="shared" si="5"/>
        <v>1843.7693738375685</v>
      </c>
      <c r="T96" s="264"/>
      <c r="U96" s="259"/>
    </row>
    <row r="97" spans="1:21" hidden="1">
      <c r="A97" s="189">
        <v>28</v>
      </c>
      <c r="B97" s="190" t="s">
        <v>277</v>
      </c>
      <c r="C97" s="189" t="s">
        <v>204</v>
      </c>
      <c r="D97" s="189"/>
      <c r="E97" s="189"/>
      <c r="F97" s="189"/>
      <c r="G97" s="178"/>
      <c r="H97" s="178"/>
      <c r="I97" s="178"/>
      <c r="J97" s="178"/>
      <c r="K97" s="179"/>
      <c r="L97" s="178"/>
      <c r="M97" s="178"/>
      <c r="N97" s="190">
        <v>11</v>
      </c>
      <c r="O97" s="190">
        <v>10</v>
      </c>
      <c r="P97" s="190">
        <v>10</v>
      </c>
      <c r="Q97" s="189" t="s">
        <v>427</v>
      </c>
      <c r="R97" s="265">
        <v>4</v>
      </c>
      <c r="S97" s="195">
        <f t="shared" si="5"/>
        <v>1843.7693738375685</v>
      </c>
      <c r="T97" s="264"/>
      <c r="U97" s="259"/>
    </row>
    <row r="98" spans="1:21" hidden="1">
      <c r="A98" s="189">
        <v>29</v>
      </c>
      <c r="B98" s="190" t="s">
        <v>264</v>
      </c>
      <c r="C98" s="189" t="s">
        <v>204</v>
      </c>
      <c r="D98" s="189"/>
      <c r="E98" s="189"/>
      <c r="F98" s="189"/>
      <c r="G98" s="180"/>
      <c r="H98" s="204"/>
      <c r="I98" s="204"/>
      <c r="J98" s="204"/>
      <c r="K98" s="179"/>
      <c r="L98" s="178"/>
      <c r="M98" s="178"/>
      <c r="N98" s="190">
        <v>10</v>
      </c>
      <c r="O98" s="190">
        <v>10</v>
      </c>
      <c r="P98" s="190">
        <v>10</v>
      </c>
      <c r="Q98" s="189" t="s">
        <v>427</v>
      </c>
      <c r="R98" s="265">
        <v>4</v>
      </c>
      <c r="S98" s="195">
        <f t="shared" si="5"/>
        <v>1843.7693738375685</v>
      </c>
      <c r="T98" s="264"/>
      <c r="U98" s="259"/>
    </row>
    <row r="99" spans="1:21" hidden="1">
      <c r="A99" s="189">
        <v>30</v>
      </c>
      <c r="B99" s="190" t="s">
        <v>265</v>
      </c>
      <c r="C99" s="189" t="s">
        <v>4</v>
      </c>
      <c r="D99" s="189"/>
      <c r="E99" s="189"/>
      <c r="F99" s="189"/>
      <c r="G99" s="180"/>
      <c r="H99" s="178"/>
      <c r="I99" s="178"/>
      <c r="J99" s="178"/>
      <c r="K99" s="179"/>
      <c r="L99" s="178"/>
      <c r="M99" s="178"/>
      <c r="N99" s="190">
        <v>10</v>
      </c>
      <c r="O99" s="190">
        <v>10</v>
      </c>
      <c r="P99" s="190">
        <v>10</v>
      </c>
      <c r="Q99" s="189"/>
      <c r="R99" s="265">
        <v>1</v>
      </c>
      <c r="S99" s="195">
        <f t="shared" si="5"/>
        <v>460.94234345939213</v>
      </c>
      <c r="T99" s="264"/>
      <c r="U99" s="259"/>
    </row>
    <row r="100" spans="1:21" s="186" customFormat="1" hidden="1">
      <c r="A100" s="191">
        <v>6</v>
      </c>
      <c r="B100" s="192" t="s">
        <v>186</v>
      </c>
      <c r="C100" s="191"/>
      <c r="D100" s="191"/>
      <c r="E100" s="191"/>
      <c r="F100" s="191"/>
      <c r="G100" s="200"/>
      <c r="H100" s="200"/>
      <c r="I100" s="200"/>
      <c r="J100" s="200"/>
      <c r="K100" s="198"/>
      <c r="L100" s="198"/>
      <c r="M100" s="198"/>
      <c r="N100" s="197"/>
      <c r="O100" s="197"/>
      <c r="P100" s="197"/>
      <c r="Q100" s="196"/>
      <c r="R100" s="202"/>
      <c r="S100" s="192">
        <f>SUM(S101:S122)</f>
        <v>10509.485430874138</v>
      </c>
      <c r="T100" s="263"/>
      <c r="U100" s="260"/>
    </row>
    <row r="101" spans="1:21" hidden="1">
      <c r="A101" s="189">
        <v>1</v>
      </c>
      <c r="B101" s="190" t="s">
        <v>308</v>
      </c>
      <c r="C101" s="189" t="s">
        <v>195</v>
      </c>
      <c r="D101" s="189"/>
      <c r="E101" s="189"/>
      <c r="F101" s="189"/>
      <c r="G101" s="180" t="s">
        <v>427</v>
      </c>
      <c r="H101" s="178"/>
      <c r="I101" s="178"/>
      <c r="J101" s="178"/>
      <c r="K101" s="303"/>
      <c r="L101" s="178"/>
      <c r="M101" s="178"/>
      <c r="N101" s="190">
        <v>19</v>
      </c>
      <c r="O101" s="190">
        <v>20</v>
      </c>
      <c r="P101" s="190">
        <v>20</v>
      </c>
      <c r="Q101" s="189"/>
      <c r="R101" s="265">
        <v>1</v>
      </c>
      <c r="S101" s="195">
        <f t="shared" ref="S101:S122" si="6">R101*$V$17</f>
        <v>460.94234345939213</v>
      </c>
      <c r="T101" s="264">
        <v>1</v>
      </c>
      <c r="U101" s="183">
        <f>COUNTIF(R101:R122, "=1,0")</f>
        <v>15</v>
      </c>
    </row>
    <row r="102" spans="1:21" hidden="1">
      <c r="A102" s="189">
        <v>2</v>
      </c>
      <c r="B102" s="190" t="s">
        <v>291</v>
      </c>
      <c r="C102" s="189" t="s">
        <v>195</v>
      </c>
      <c r="D102" s="189"/>
      <c r="E102" s="189"/>
      <c r="F102" s="189"/>
      <c r="G102" s="180" t="s">
        <v>427</v>
      </c>
      <c r="H102" s="180"/>
      <c r="I102" s="180"/>
      <c r="J102" s="180"/>
      <c r="K102" s="179"/>
      <c r="L102" s="178"/>
      <c r="M102" s="178"/>
      <c r="N102" s="190">
        <v>18</v>
      </c>
      <c r="O102" s="190">
        <v>20</v>
      </c>
      <c r="P102" s="190">
        <v>20</v>
      </c>
      <c r="Q102" s="189"/>
      <c r="R102" s="265">
        <v>1</v>
      </c>
      <c r="S102" s="195">
        <f t="shared" si="6"/>
        <v>460.94234345939213</v>
      </c>
      <c r="T102" s="264">
        <v>1.3</v>
      </c>
      <c r="U102" s="183">
        <f>COUNTIF(R101:R122, "=1,3")</f>
        <v>6</v>
      </c>
    </row>
    <row r="103" spans="1:21" hidden="1">
      <c r="A103" s="189">
        <v>3</v>
      </c>
      <c r="B103" s="190" t="s">
        <v>294</v>
      </c>
      <c r="C103" s="189" t="s">
        <v>195</v>
      </c>
      <c r="D103" s="189"/>
      <c r="E103" s="189"/>
      <c r="F103" s="189"/>
      <c r="G103" s="180" t="s">
        <v>427</v>
      </c>
      <c r="H103" s="180"/>
      <c r="I103" s="180"/>
      <c r="J103" s="180"/>
      <c r="K103" s="303"/>
      <c r="L103" s="178"/>
      <c r="M103" s="178"/>
      <c r="N103" s="190">
        <v>19</v>
      </c>
      <c r="O103" s="190">
        <v>20</v>
      </c>
      <c r="P103" s="190">
        <v>20</v>
      </c>
      <c r="Q103" s="189"/>
      <c r="R103" s="265">
        <v>1</v>
      </c>
      <c r="S103" s="195">
        <f t="shared" si="6"/>
        <v>460.94234345939213</v>
      </c>
      <c r="T103" s="264">
        <v>4</v>
      </c>
      <c r="U103" s="183">
        <f>COUNTIF(R101:R122, "=4,0")</f>
        <v>0</v>
      </c>
    </row>
    <row r="104" spans="1:21" hidden="1">
      <c r="A104" s="189">
        <v>4</v>
      </c>
      <c r="B104" s="190" t="s">
        <v>297</v>
      </c>
      <c r="C104" s="189" t="s">
        <v>195</v>
      </c>
      <c r="D104" s="189" t="s">
        <v>427</v>
      </c>
      <c r="E104" s="189"/>
      <c r="F104" s="189"/>
      <c r="G104" s="180" t="s">
        <v>427</v>
      </c>
      <c r="H104" s="180"/>
      <c r="I104" s="180"/>
      <c r="J104" s="180"/>
      <c r="K104" s="303"/>
      <c r="L104" s="178"/>
      <c r="M104" s="178"/>
      <c r="N104" s="190">
        <v>19</v>
      </c>
      <c r="O104" s="190">
        <v>19</v>
      </c>
      <c r="P104" s="190">
        <v>19</v>
      </c>
      <c r="Q104" s="189"/>
      <c r="R104" s="265">
        <v>1</v>
      </c>
      <c r="S104" s="195">
        <f t="shared" si="6"/>
        <v>460.94234345939213</v>
      </c>
      <c r="T104" s="264"/>
      <c r="U104" s="259"/>
    </row>
    <row r="105" spans="1:21" hidden="1">
      <c r="A105" s="189">
        <v>5</v>
      </c>
      <c r="B105" s="190" t="s">
        <v>296</v>
      </c>
      <c r="C105" s="189" t="s">
        <v>195</v>
      </c>
      <c r="D105" s="189"/>
      <c r="E105" s="302" t="s">
        <v>427</v>
      </c>
      <c r="F105" s="189"/>
      <c r="G105" s="180" t="s">
        <v>427</v>
      </c>
      <c r="H105" s="180"/>
      <c r="I105" s="180"/>
      <c r="J105" s="180"/>
      <c r="K105" s="303"/>
      <c r="L105" s="178"/>
      <c r="M105" s="178"/>
      <c r="N105" s="190">
        <v>18</v>
      </c>
      <c r="O105" s="190">
        <v>19</v>
      </c>
      <c r="P105" s="190">
        <v>20</v>
      </c>
      <c r="Q105" s="189"/>
      <c r="R105" s="265">
        <v>1</v>
      </c>
      <c r="S105" s="195">
        <f t="shared" si="6"/>
        <v>460.94234345939213</v>
      </c>
      <c r="T105" s="264"/>
      <c r="U105" s="259"/>
    </row>
    <row r="106" spans="1:21" hidden="1">
      <c r="A106" s="189">
        <v>6</v>
      </c>
      <c r="B106" s="190" t="s">
        <v>295</v>
      </c>
      <c r="C106" s="189" t="s">
        <v>195</v>
      </c>
      <c r="D106" s="189"/>
      <c r="E106" s="302" t="s">
        <v>427</v>
      </c>
      <c r="F106" s="189"/>
      <c r="G106" s="180" t="s">
        <v>427</v>
      </c>
      <c r="H106" s="180"/>
      <c r="I106" s="180"/>
      <c r="J106" s="180"/>
      <c r="K106" s="303"/>
      <c r="L106" s="178"/>
      <c r="M106" s="178"/>
      <c r="N106" s="190">
        <v>19</v>
      </c>
      <c r="O106" s="190">
        <v>19</v>
      </c>
      <c r="P106" s="190">
        <v>18</v>
      </c>
      <c r="Q106" s="189"/>
      <c r="R106" s="265">
        <v>1</v>
      </c>
      <c r="S106" s="195">
        <f t="shared" si="6"/>
        <v>460.94234345939213</v>
      </c>
      <c r="T106" s="264"/>
      <c r="U106" s="259"/>
    </row>
    <row r="107" spans="1:21" hidden="1">
      <c r="A107" s="189">
        <v>7</v>
      </c>
      <c r="B107" s="190" t="s">
        <v>287</v>
      </c>
      <c r="C107" s="189" t="s">
        <v>195</v>
      </c>
      <c r="D107" s="189"/>
      <c r="E107" s="189"/>
      <c r="F107" s="189" t="s">
        <v>427</v>
      </c>
      <c r="G107" s="180" t="s">
        <v>427</v>
      </c>
      <c r="H107" s="180"/>
      <c r="I107" s="180"/>
      <c r="J107" s="180"/>
      <c r="K107" s="179"/>
      <c r="L107" s="178"/>
      <c r="M107" s="178"/>
      <c r="N107" s="190">
        <v>19</v>
      </c>
      <c r="O107" s="190">
        <v>19</v>
      </c>
      <c r="P107" s="190">
        <v>20</v>
      </c>
      <c r="Q107" s="189"/>
      <c r="R107" s="265">
        <v>1</v>
      </c>
      <c r="S107" s="195">
        <f t="shared" si="6"/>
        <v>460.94234345939213</v>
      </c>
      <c r="T107" s="183"/>
    </row>
    <row r="108" spans="1:21" hidden="1">
      <c r="A108" s="189">
        <v>8</v>
      </c>
      <c r="B108" s="190" t="s">
        <v>288</v>
      </c>
      <c r="C108" s="189" t="s">
        <v>195</v>
      </c>
      <c r="D108" s="189"/>
      <c r="E108" s="189"/>
      <c r="F108" s="189"/>
      <c r="G108" s="180" t="s">
        <v>427</v>
      </c>
      <c r="H108" s="180"/>
      <c r="I108" s="180"/>
      <c r="J108" s="180"/>
      <c r="K108" s="179"/>
      <c r="L108" s="178"/>
      <c r="M108" s="178"/>
      <c r="N108" s="190">
        <v>19</v>
      </c>
      <c r="O108" s="190">
        <v>19</v>
      </c>
      <c r="P108" s="190">
        <v>20</v>
      </c>
      <c r="Q108" s="189"/>
      <c r="R108" s="265">
        <v>1</v>
      </c>
      <c r="S108" s="195">
        <f t="shared" si="6"/>
        <v>460.94234345939213</v>
      </c>
      <c r="T108" s="183"/>
    </row>
    <row r="109" spans="1:21" hidden="1">
      <c r="A109" s="189">
        <v>9</v>
      </c>
      <c r="B109" s="190" t="s">
        <v>290</v>
      </c>
      <c r="C109" s="189" t="s">
        <v>195</v>
      </c>
      <c r="D109" s="189"/>
      <c r="E109" s="189"/>
      <c r="F109" s="189" t="s">
        <v>427</v>
      </c>
      <c r="G109" s="181" t="s">
        <v>427</v>
      </c>
      <c r="H109" s="180"/>
      <c r="I109" s="180"/>
      <c r="J109" s="180"/>
      <c r="K109" s="179"/>
      <c r="L109" s="178"/>
      <c r="M109" s="178"/>
      <c r="N109" s="190">
        <v>18</v>
      </c>
      <c r="O109" s="190">
        <v>19</v>
      </c>
      <c r="P109" s="190">
        <v>20</v>
      </c>
      <c r="Q109" s="189"/>
      <c r="R109" s="265">
        <v>1</v>
      </c>
      <c r="S109" s="195">
        <f t="shared" si="6"/>
        <v>460.94234345939213</v>
      </c>
      <c r="T109" s="183"/>
    </row>
    <row r="110" spans="1:21">
      <c r="A110" s="189">
        <v>10</v>
      </c>
      <c r="B110" s="190" t="s">
        <v>305</v>
      </c>
      <c r="C110" s="189" t="s">
        <v>505</v>
      </c>
      <c r="D110" s="189"/>
      <c r="E110" s="189"/>
      <c r="F110" s="189"/>
      <c r="G110" s="180"/>
      <c r="H110" s="180"/>
      <c r="I110" s="180" t="s">
        <v>427</v>
      </c>
      <c r="J110" s="180"/>
      <c r="K110" s="303"/>
      <c r="L110" s="178"/>
      <c r="M110" s="178"/>
      <c r="N110" s="190">
        <v>11</v>
      </c>
      <c r="O110" s="190">
        <v>14</v>
      </c>
      <c r="P110" s="190">
        <v>20</v>
      </c>
      <c r="Q110" s="189"/>
      <c r="R110" s="265">
        <v>1.3</v>
      </c>
      <c r="S110" s="195">
        <f t="shared" si="6"/>
        <v>599.22504649720975</v>
      </c>
      <c r="T110" s="264"/>
      <c r="U110" s="259"/>
    </row>
    <row r="111" spans="1:21">
      <c r="A111" s="189">
        <v>11</v>
      </c>
      <c r="B111" s="190" t="s">
        <v>306</v>
      </c>
      <c r="C111" s="189" t="s">
        <v>505</v>
      </c>
      <c r="D111" s="189"/>
      <c r="E111" s="189"/>
      <c r="F111" s="189"/>
      <c r="G111" s="180"/>
      <c r="H111" s="180"/>
      <c r="I111" s="180" t="s">
        <v>427</v>
      </c>
      <c r="J111" s="180"/>
      <c r="K111" s="303"/>
      <c r="L111" s="178"/>
      <c r="M111" s="178"/>
      <c r="N111" s="190">
        <v>12</v>
      </c>
      <c r="O111" s="190">
        <v>14</v>
      </c>
      <c r="P111" s="190">
        <v>20</v>
      </c>
      <c r="Q111" s="189"/>
      <c r="R111" s="265">
        <v>1.3</v>
      </c>
      <c r="S111" s="195">
        <f t="shared" si="6"/>
        <v>599.22504649720975</v>
      </c>
      <c r="T111" s="264"/>
      <c r="U111" s="259"/>
    </row>
    <row r="112" spans="1:21">
      <c r="A112" s="189">
        <v>12</v>
      </c>
      <c r="B112" s="190" t="s">
        <v>302</v>
      </c>
      <c r="C112" s="189" t="s">
        <v>505</v>
      </c>
      <c r="D112" s="189"/>
      <c r="E112" s="189"/>
      <c r="F112" s="189"/>
      <c r="G112" s="180"/>
      <c r="H112" s="180"/>
      <c r="I112" s="180" t="s">
        <v>427</v>
      </c>
      <c r="J112" s="180"/>
      <c r="K112" s="303"/>
      <c r="L112" s="178"/>
      <c r="M112" s="178"/>
      <c r="N112" s="190">
        <v>13</v>
      </c>
      <c r="O112" s="190">
        <v>13</v>
      </c>
      <c r="P112" s="190">
        <v>20</v>
      </c>
      <c r="Q112" s="189"/>
      <c r="R112" s="265">
        <v>1.3</v>
      </c>
      <c r="S112" s="195">
        <f t="shared" si="6"/>
        <v>599.22504649720975</v>
      </c>
      <c r="T112" s="264"/>
      <c r="U112" s="259"/>
    </row>
    <row r="113" spans="1:21" hidden="1">
      <c r="A113" s="189">
        <v>13</v>
      </c>
      <c r="B113" s="190" t="s">
        <v>289</v>
      </c>
      <c r="C113" s="189" t="s">
        <v>195</v>
      </c>
      <c r="D113" s="189"/>
      <c r="E113" s="189"/>
      <c r="F113" s="189"/>
      <c r="G113" s="180"/>
      <c r="H113" s="181" t="s">
        <v>427</v>
      </c>
      <c r="I113" s="181" t="s">
        <v>427</v>
      </c>
      <c r="J113" s="181"/>
      <c r="K113" s="179"/>
      <c r="L113" s="178"/>
      <c r="M113" s="178"/>
      <c r="N113" s="190">
        <v>11</v>
      </c>
      <c r="O113" s="190">
        <v>12</v>
      </c>
      <c r="P113" s="190">
        <v>20</v>
      </c>
      <c r="Q113" s="189"/>
      <c r="R113" s="265">
        <v>1</v>
      </c>
      <c r="S113" s="195">
        <f t="shared" si="6"/>
        <v>460.94234345939213</v>
      </c>
      <c r="T113" s="183"/>
    </row>
    <row r="114" spans="1:21">
      <c r="A114" s="189">
        <v>14</v>
      </c>
      <c r="B114" s="190" t="s">
        <v>303</v>
      </c>
      <c r="C114" s="189" t="s">
        <v>505</v>
      </c>
      <c r="D114" s="189"/>
      <c r="E114" s="189"/>
      <c r="F114" s="189"/>
      <c r="G114" s="180"/>
      <c r="H114" s="180"/>
      <c r="I114" s="180" t="s">
        <v>427</v>
      </c>
      <c r="J114" s="180"/>
      <c r="K114" s="303"/>
      <c r="L114" s="178"/>
      <c r="M114" s="178"/>
      <c r="N114" s="190">
        <v>14</v>
      </c>
      <c r="O114" s="190">
        <v>12</v>
      </c>
      <c r="P114" s="190">
        <v>20</v>
      </c>
      <c r="Q114" s="189"/>
      <c r="R114" s="265">
        <v>1.3</v>
      </c>
      <c r="S114" s="195">
        <f t="shared" si="6"/>
        <v>599.22504649720975</v>
      </c>
      <c r="T114" s="264"/>
      <c r="U114" s="259"/>
    </row>
    <row r="115" spans="1:21" hidden="1">
      <c r="A115" s="189">
        <v>15</v>
      </c>
      <c r="B115" s="190" t="s">
        <v>299</v>
      </c>
      <c r="C115" s="189" t="s">
        <v>4</v>
      </c>
      <c r="D115" s="189"/>
      <c r="E115" s="189"/>
      <c r="F115" s="189"/>
      <c r="G115" s="180"/>
      <c r="H115" s="180"/>
      <c r="I115" s="180"/>
      <c r="J115" s="180"/>
      <c r="K115" s="303"/>
      <c r="L115" s="178"/>
      <c r="M115" s="178"/>
      <c r="N115" s="190">
        <v>11</v>
      </c>
      <c r="O115" s="190">
        <v>12</v>
      </c>
      <c r="P115" s="190">
        <v>12</v>
      </c>
      <c r="Q115" s="189"/>
      <c r="R115" s="265">
        <v>1</v>
      </c>
      <c r="S115" s="195">
        <f t="shared" si="6"/>
        <v>460.94234345939213</v>
      </c>
      <c r="T115" s="264"/>
      <c r="U115" s="259"/>
    </row>
    <row r="116" spans="1:21" ht="47.25" hidden="1">
      <c r="A116" s="189"/>
      <c r="B116" s="190" t="s">
        <v>298</v>
      </c>
      <c r="C116" s="189" t="s">
        <v>508</v>
      </c>
      <c r="D116" s="189"/>
      <c r="E116" s="189"/>
      <c r="F116" s="189"/>
      <c r="G116" s="180"/>
      <c r="H116" s="180"/>
      <c r="I116" s="180"/>
      <c r="J116" s="180"/>
      <c r="K116" s="303"/>
      <c r="L116" s="178"/>
      <c r="M116" s="178"/>
      <c r="N116" s="190">
        <v>12</v>
      </c>
      <c r="O116" s="190">
        <v>12</v>
      </c>
      <c r="P116" s="190"/>
      <c r="Q116" s="189"/>
      <c r="R116" s="265"/>
      <c r="S116" s="195">
        <f t="shared" si="6"/>
        <v>0</v>
      </c>
      <c r="T116" s="264"/>
      <c r="U116" s="259"/>
    </row>
    <row r="117" spans="1:21" hidden="1">
      <c r="A117" s="189">
        <v>16</v>
      </c>
      <c r="B117" s="190" t="s">
        <v>307</v>
      </c>
      <c r="C117" s="189" t="s">
        <v>4</v>
      </c>
      <c r="D117" s="189"/>
      <c r="E117" s="189"/>
      <c r="F117" s="189"/>
      <c r="G117" s="180"/>
      <c r="H117" s="180"/>
      <c r="I117" s="180"/>
      <c r="J117" s="180"/>
      <c r="K117" s="303"/>
      <c r="L117" s="178"/>
      <c r="M117" s="178"/>
      <c r="N117" s="190">
        <v>10</v>
      </c>
      <c r="O117" s="190">
        <v>10</v>
      </c>
      <c r="P117" s="190">
        <v>11</v>
      </c>
      <c r="Q117" s="189"/>
      <c r="R117" s="265">
        <v>1</v>
      </c>
      <c r="S117" s="195">
        <f t="shared" si="6"/>
        <v>460.94234345939213</v>
      </c>
      <c r="T117" s="264"/>
      <c r="U117" s="259"/>
    </row>
    <row r="118" spans="1:21" hidden="1">
      <c r="A118" s="189">
        <v>17</v>
      </c>
      <c r="B118" s="190" t="s">
        <v>301</v>
      </c>
      <c r="C118" s="189" t="s">
        <v>4</v>
      </c>
      <c r="D118" s="189"/>
      <c r="E118" s="189"/>
      <c r="F118" s="189"/>
      <c r="G118" s="180"/>
      <c r="H118" s="180"/>
      <c r="I118" s="180"/>
      <c r="J118" s="180"/>
      <c r="K118" s="303"/>
      <c r="L118" s="178"/>
      <c r="M118" s="178"/>
      <c r="N118" s="190">
        <v>10</v>
      </c>
      <c r="O118" s="190">
        <v>10</v>
      </c>
      <c r="P118" s="190">
        <v>11</v>
      </c>
      <c r="Q118" s="189"/>
      <c r="R118" s="265">
        <v>1</v>
      </c>
      <c r="S118" s="195">
        <f t="shared" si="6"/>
        <v>460.94234345939213</v>
      </c>
      <c r="T118" s="264"/>
      <c r="U118" s="259"/>
    </row>
    <row r="119" spans="1:21">
      <c r="A119" s="189">
        <v>18</v>
      </c>
      <c r="B119" s="190" t="s">
        <v>293</v>
      </c>
      <c r="C119" s="189" t="s">
        <v>507</v>
      </c>
      <c r="D119" s="189"/>
      <c r="E119" s="189"/>
      <c r="F119" s="189"/>
      <c r="G119" s="180"/>
      <c r="H119" s="180"/>
      <c r="I119" s="180"/>
      <c r="J119" s="180" t="s">
        <v>427</v>
      </c>
      <c r="K119" s="303" t="s">
        <v>427</v>
      </c>
      <c r="L119" s="178"/>
      <c r="M119" s="178"/>
      <c r="N119" s="190">
        <v>10</v>
      </c>
      <c r="O119" s="190">
        <v>8</v>
      </c>
      <c r="P119" s="190">
        <v>10</v>
      </c>
      <c r="Q119" s="189"/>
      <c r="R119" s="265">
        <v>1.3</v>
      </c>
      <c r="S119" s="195">
        <f t="shared" si="6"/>
        <v>599.22504649720975</v>
      </c>
      <c r="T119" s="264"/>
      <c r="U119" s="259"/>
    </row>
    <row r="120" spans="1:21" hidden="1">
      <c r="A120" s="189">
        <v>19</v>
      </c>
      <c r="B120" s="190" t="s">
        <v>304</v>
      </c>
      <c r="C120" s="189" t="s">
        <v>4</v>
      </c>
      <c r="D120" s="189"/>
      <c r="E120" s="189"/>
      <c r="F120" s="189"/>
      <c r="G120" s="180"/>
      <c r="H120" s="180"/>
      <c r="I120" s="180"/>
      <c r="J120" s="180"/>
      <c r="K120" s="303"/>
      <c r="L120" s="178"/>
      <c r="M120" s="178"/>
      <c r="N120" s="190">
        <v>9</v>
      </c>
      <c r="O120" s="190">
        <v>8</v>
      </c>
      <c r="P120" s="190">
        <v>11</v>
      </c>
      <c r="Q120" s="189"/>
      <c r="R120" s="265">
        <v>1</v>
      </c>
      <c r="S120" s="195">
        <f t="shared" si="6"/>
        <v>460.94234345939213</v>
      </c>
      <c r="T120" s="264"/>
      <c r="U120" s="259"/>
    </row>
    <row r="121" spans="1:21">
      <c r="A121" s="189">
        <v>20</v>
      </c>
      <c r="B121" s="190" t="s">
        <v>292</v>
      </c>
      <c r="C121" s="189" t="s">
        <v>507</v>
      </c>
      <c r="D121" s="189"/>
      <c r="E121" s="189"/>
      <c r="F121" s="189"/>
      <c r="G121" s="281"/>
      <c r="H121" s="281"/>
      <c r="I121" s="179"/>
      <c r="J121" s="179" t="s">
        <v>427</v>
      </c>
      <c r="K121" s="179"/>
      <c r="L121" s="178"/>
      <c r="M121" s="178"/>
      <c r="N121" s="190">
        <v>10</v>
      </c>
      <c r="O121" s="190">
        <v>8</v>
      </c>
      <c r="P121" s="190">
        <v>10</v>
      </c>
      <c r="Q121" s="189"/>
      <c r="R121" s="265">
        <v>1.3</v>
      </c>
      <c r="S121" s="195">
        <f t="shared" si="6"/>
        <v>599.22504649720975</v>
      </c>
      <c r="T121" s="264"/>
      <c r="U121" s="259"/>
    </row>
    <row r="122" spans="1:21" hidden="1">
      <c r="A122" s="189">
        <v>21</v>
      </c>
      <c r="B122" s="190" t="s">
        <v>300</v>
      </c>
      <c r="C122" s="189" t="s">
        <v>4</v>
      </c>
      <c r="D122" s="189"/>
      <c r="E122" s="189"/>
      <c r="F122" s="189"/>
      <c r="G122" s="180"/>
      <c r="H122" s="180"/>
      <c r="I122" s="180"/>
      <c r="J122" s="180"/>
      <c r="K122" s="303"/>
      <c r="L122" s="178"/>
      <c r="M122" s="178"/>
      <c r="N122" s="190">
        <v>9</v>
      </c>
      <c r="O122" s="190">
        <v>8</v>
      </c>
      <c r="P122" s="190">
        <v>10</v>
      </c>
      <c r="Q122" s="189"/>
      <c r="R122" s="265">
        <v>1</v>
      </c>
      <c r="S122" s="195">
        <f t="shared" si="6"/>
        <v>460.94234345939213</v>
      </c>
      <c r="T122" s="264"/>
      <c r="U122" s="259"/>
    </row>
    <row r="123" spans="1:21" s="186" customFormat="1" hidden="1">
      <c r="A123" s="191">
        <v>7</v>
      </c>
      <c r="B123" s="192" t="s">
        <v>187</v>
      </c>
      <c r="C123" s="191"/>
      <c r="D123" s="191"/>
      <c r="E123" s="191"/>
      <c r="F123" s="191"/>
      <c r="G123" s="200"/>
      <c r="H123" s="200"/>
      <c r="I123" s="200"/>
      <c r="J123" s="200"/>
      <c r="K123" s="200"/>
      <c r="L123" s="198"/>
      <c r="M123" s="198"/>
      <c r="N123" s="197"/>
      <c r="O123" s="197"/>
      <c r="P123" s="197"/>
      <c r="Q123" s="196"/>
      <c r="R123" s="202"/>
      <c r="S123" s="192">
        <f>SUM(S124:S150)</f>
        <v>13275.139491630489</v>
      </c>
      <c r="T123" s="263"/>
      <c r="U123" s="260"/>
    </row>
    <row r="124" spans="1:21" hidden="1">
      <c r="A124" s="189">
        <v>1</v>
      </c>
      <c r="B124" s="190" t="s">
        <v>323</v>
      </c>
      <c r="C124" s="189" t="s">
        <v>195</v>
      </c>
      <c r="D124" s="189"/>
      <c r="E124" s="189"/>
      <c r="F124" s="189"/>
      <c r="G124" s="178"/>
      <c r="H124" s="182" t="s">
        <v>427</v>
      </c>
      <c r="I124" s="182" t="s">
        <v>427</v>
      </c>
      <c r="J124" s="182"/>
      <c r="K124" s="179"/>
      <c r="L124" s="178"/>
      <c r="M124" s="178"/>
      <c r="N124" s="190">
        <v>13</v>
      </c>
      <c r="O124" s="190">
        <v>10</v>
      </c>
      <c r="P124" s="190">
        <v>20</v>
      </c>
      <c r="Q124" s="189"/>
      <c r="R124" s="265">
        <v>1</v>
      </c>
      <c r="S124" s="195">
        <f t="shared" ref="S124:S134" si="7">R124*$V$17</f>
        <v>460.94234345939213</v>
      </c>
      <c r="T124" s="264">
        <v>4</v>
      </c>
      <c r="U124" s="183">
        <f>COUNTIF(R124:R150, "=4,0")</f>
        <v>0</v>
      </c>
    </row>
    <row r="125" spans="1:21" hidden="1">
      <c r="A125" s="189">
        <v>2</v>
      </c>
      <c r="B125" s="190" t="s">
        <v>332</v>
      </c>
      <c r="C125" s="189" t="s">
        <v>195</v>
      </c>
      <c r="D125" s="189"/>
      <c r="E125" s="189"/>
      <c r="F125" s="189"/>
      <c r="G125" s="180"/>
      <c r="H125" s="206" t="s">
        <v>427</v>
      </c>
      <c r="I125" s="206" t="s">
        <v>427</v>
      </c>
      <c r="J125" s="206"/>
      <c r="K125" s="179"/>
      <c r="L125" s="178"/>
      <c r="M125" s="178"/>
      <c r="N125" s="190">
        <v>13</v>
      </c>
      <c r="O125" s="190">
        <v>11</v>
      </c>
      <c r="P125" s="190">
        <v>20</v>
      </c>
      <c r="Q125" s="189"/>
      <c r="R125" s="265">
        <v>1</v>
      </c>
      <c r="S125" s="195">
        <f t="shared" si="7"/>
        <v>460.94234345939213</v>
      </c>
      <c r="T125" s="264">
        <v>1.3</v>
      </c>
      <c r="U125" s="183">
        <f>COUNTIF(R124:R150, "=1,3")</f>
        <v>6</v>
      </c>
    </row>
    <row r="126" spans="1:21" hidden="1">
      <c r="A126" s="189">
        <v>3</v>
      </c>
      <c r="B126" s="190" t="s">
        <v>324</v>
      </c>
      <c r="C126" s="189" t="s">
        <v>195</v>
      </c>
      <c r="D126" s="189"/>
      <c r="E126" s="189"/>
      <c r="F126" s="189"/>
      <c r="G126" s="178"/>
      <c r="H126" s="182" t="s">
        <v>427</v>
      </c>
      <c r="I126" s="182" t="s">
        <v>427</v>
      </c>
      <c r="J126" s="182"/>
      <c r="K126" s="179"/>
      <c r="L126" s="178"/>
      <c r="M126" s="178"/>
      <c r="N126" s="190">
        <v>14</v>
      </c>
      <c r="O126" s="190">
        <v>10</v>
      </c>
      <c r="P126" s="190">
        <v>20</v>
      </c>
      <c r="Q126" s="189"/>
      <c r="R126" s="265">
        <v>1</v>
      </c>
      <c r="S126" s="195">
        <f t="shared" si="7"/>
        <v>460.94234345939213</v>
      </c>
      <c r="T126" s="264">
        <v>1</v>
      </c>
      <c r="U126" s="183">
        <f>COUNTIF(R124:R150, "=1,0")</f>
        <v>21</v>
      </c>
    </row>
    <row r="127" spans="1:21" hidden="1">
      <c r="A127" s="189">
        <v>4</v>
      </c>
      <c r="B127" s="190" t="s">
        <v>330</v>
      </c>
      <c r="C127" s="189" t="s">
        <v>4</v>
      </c>
      <c r="D127" s="189"/>
      <c r="E127" s="189"/>
      <c r="F127" s="189"/>
      <c r="G127" s="180"/>
      <c r="H127" s="206" t="s">
        <v>427</v>
      </c>
      <c r="I127" s="206"/>
      <c r="J127" s="206"/>
      <c r="K127" s="179"/>
      <c r="L127" s="178"/>
      <c r="M127" s="178"/>
      <c r="N127" s="190">
        <v>11</v>
      </c>
      <c r="O127" s="190">
        <v>9</v>
      </c>
      <c r="P127" s="190">
        <v>20</v>
      </c>
      <c r="Q127" s="189"/>
      <c r="R127" s="265">
        <v>1</v>
      </c>
      <c r="S127" s="195">
        <f t="shared" si="7"/>
        <v>460.94234345939213</v>
      </c>
      <c r="T127" s="264"/>
      <c r="U127" s="259"/>
    </row>
    <row r="128" spans="1:21" hidden="1">
      <c r="A128" s="189">
        <v>5</v>
      </c>
      <c r="B128" s="190" t="s">
        <v>329</v>
      </c>
      <c r="C128" s="189" t="s">
        <v>195</v>
      </c>
      <c r="D128" s="189"/>
      <c r="E128" s="189"/>
      <c r="F128" s="189"/>
      <c r="G128" s="179"/>
      <c r="H128" s="205" t="s">
        <v>427</v>
      </c>
      <c r="I128" s="205" t="s">
        <v>427</v>
      </c>
      <c r="J128" s="205"/>
      <c r="K128" s="179"/>
      <c r="L128" s="178"/>
      <c r="M128" s="178"/>
      <c r="N128" s="190">
        <v>13</v>
      </c>
      <c r="O128" s="190">
        <v>10</v>
      </c>
      <c r="P128" s="190">
        <v>20</v>
      </c>
      <c r="Q128" s="189"/>
      <c r="R128" s="265">
        <v>1</v>
      </c>
      <c r="S128" s="195">
        <f t="shared" si="7"/>
        <v>460.94234345939213</v>
      </c>
      <c r="T128" s="264"/>
      <c r="U128" s="259"/>
    </row>
    <row r="129" spans="1:21" hidden="1">
      <c r="A129" s="189">
        <v>6</v>
      </c>
      <c r="B129" s="190" t="s">
        <v>312</v>
      </c>
      <c r="C129" s="189" t="s">
        <v>195</v>
      </c>
      <c r="D129" s="189"/>
      <c r="E129" s="189"/>
      <c r="F129" s="189"/>
      <c r="G129" s="180"/>
      <c r="H129" s="181" t="s">
        <v>427</v>
      </c>
      <c r="I129" s="181" t="s">
        <v>427</v>
      </c>
      <c r="J129" s="181"/>
      <c r="K129" s="303"/>
      <c r="L129" s="178"/>
      <c r="M129" s="178"/>
      <c r="N129" s="190">
        <v>14</v>
      </c>
      <c r="O129" s="190">
        <v>10</v>
      </c>
      <c r="P129" s="190">
        <v>20</v>
      </c>
      <c r="Q129" s="189"/>
      <c r="R129" s="265">
        <v>1</v>
      </c>
      <c r="S129" s="195">
        <f t="shared" si="7"/>
        <v>460.94234345939213</v>
      </c>
      <c r="T129" s="264"/>
      <c r="U129" s="259"/>
    </row>
    <row r="130" spans="1:21">
      <c r="A130" s="189">
        <v>7</v>
      </c>
      <c r="B130" s="190" t="s">
        <v>322</v>
      </c>
      <c r="C130" s="189" t="s">
        <v>507</v>
      </c>
      <c r="D130" s="189"/>
      <c r="E130" s="189"/>
      <c r="F130" s="189"/>
      <c r="G130" s="178"/>
      <c r="H130" s="178"/>
      <c r="I130" s="178"/>
      <c r="J130" s="178" t="s">
        <v>427</v>
      </c>
      <c r="K130" s="179" t="s">
        <v>427</v>
      </c>
      <c r="L130" s="178"/>
      <c r="M130" s="178"/>
      <c r="N130" s="190">
        <v>15</v>
      </c>
      <c r="O130" s="190">
        <v>7</v>
      </c>
      <c r="P130" s="190">
        <v>19</v>
      </c>
      <c r="Q130" s="189"/>
      <c r="R130" s="265">
        <v>1.3</v>
      </c>
      <c r="S130" s="195">
        <f t="shared" si="7"/>
        <v>599.22504649720975</v>
      </c>
      <c r="T130" s="264"/>
      <c r="U130" s="259"/>
    </row>
    <row r="131" spans="1:21" hidden="1">
      <c r="A131" s="189">
        <v>8</v>
      </c>
      <c r="B131" s="190" t="s">
        <v>316</v>
      </c>
      <c r="C131" s="189" t="s">
        <v>4</v>
      </c>
      <c r="D131" s="189"/>
      <c r="E131" s="189"/>
      <c r="F131" s="189"/>
      <c r="G131" s="180"/>
      <c r="H131" s="181" t="s">
        <v>427</v>
      </c>
      <c r="I131" s="181"/>
      <c r="J131" s="181" t="s">
        <v>427</v>
      </c>
      <c r="K131" s="303"/>
      <c r="L131" s="178"/>
      <c r="M131" s="178"/>
      <c r="N131" s="190">
        <v>12</v>
      </c>
      <c r="O131" s="190">
        <v>10</v>
      </c>
      <c r="P131" s="190">
        <v>19</v>
      </c>
      <c r="Q131" s="189"/>
      <c r="R131" s="265">
        <v>1</v>
      </c>
      <c r="S131" s="195">
        <f t="shared" si="7"/>
        <v>460.94234345939213</v>
      </c>
      <c r="T131" s="264"/>
      <c r="U131" s="259"/>
    </row>
    <row r="132" spans="1:21" hidden="1">
      <c r="A132" s="189">
        <v>9</v>
      </c>
      <c r="B132" s="190" t="s">
        <v>319</v>
      </c>
      <c r="C132" s="189" t="s">
        <v>195</v>
      </c>
      <c r="D132" s="189"/>
      <c r="E132" s="302" t="s">
        <v>427</v>
      </c>
      <c r="F132" s="189"/>
      <c r="G132" s="180" t="s">
        <v>427</v>
      </c>
      <c r="H132" s="180"/>
      <c r="I132" s="180"/>
      <c r="J132" s="180"/>
      <c r="K132" s="303"/>
      <c r="L132" s="178"/>
      <c r="M132" s="178"/>
      <c r="N132" s="190">
        <v>18</v>
      </c>
      <c r="O132" s="190">
        <v>14</v>
      </c>
      <c r="P132" s="190">
        <v>19</v>
      </c>
      <c r="Q132" s="189"/>
      <c r="R132" s="265">
        <v>1</v>
      </c>
      <c r="S132" s="195">
        <f t="shared" si="7"/>
        <v>460.94234345939213</v>
      </c>
      <c r="T132" s="264"/>
      <c r="U132" s="259"/>
    </row>
    <row r="133" spans="1:21" hidden="1">
      <c r="A133" s="189">
        <v>10</v>
      </c>
      <c r="B133" s="190" t="s">
        <v>311</v>
      </c>
      <c r="C133" s="189" t="s">
        <v>195</v>
      </c>
      <c r="D133" s="189"/>
      <c r="E133" s="189"/>
      <c r="F133" s="189" t="s">
        <v>427</v>
      </c>
      <c r="G133" s="180" t="s">
        <v>427</v>
      </c>
      <c r="H133" s="180"/>
      <c r="I133" s="180"/>
      <c r="J133" s="180"/>
      <c r="K133" s="303"/>
      <c r="L133" s="178"/>
      <c r="M133" s="178"/>
      <c r="N133" s="190">
        <v>18</v>
      </c>
      <c r="O133" s="190">
        <v>15</v>
      </c>
      <c r="P133" s="190">
        <v>19</v>
      </c>
      <c r="Q133" s="189"/>
      <c r="R133" s="265">
        <v>1</v>
      </c>
      <c r="S133" s="195">
        <f t="shared" si="7"/>
        <v>460.94234345939213</v>
      </c>
    </row>
    <row r="134" spans="1:21" hidden="1">
      <c r="A134" s="189">
        <v>11</v>
      </c>
      <c r="B134" s="190" t="s">
        <v>313</v>
      </c>
      <c r="C134" s="189" t="s">
        <v>195</v>
      </c>
      <c r="D134" s="189"/>
      <c r="E134" s="189"/>
      <c r="F134" s="189" t="s">
        <v>427</v>
      </c>
      <c r="G134" s="180" t="s">
        <v>427</v>
      </c>
      <c r="H134" s="180"/>
      <c r="I134" s="180"/>
      <c r="J134" s="180"/>
      <c r="K134" s="303"/>
      <c r="L134" s="178"/>
      <c r="M134" s="178"/>
      <c r="N134" s="190">
        <v>18</v>
      </c>
      <c r="O134" s="190">
        <v>15</v>
      </c>
      <c r="P134" s="190">
        <v>19</v>
      </c>
      <c r="Q134" s="189"/>
      <c r="R134" s="265">
        <v>1</v>
      </c>
      <c r="S134" s="195">
        <f t="shared" si="7"/>
        <v>460.94234345939213</v>
      </c>
      <c r="T134" s="264"/>
      <c r="U134" s="259"/>
    </row>
    <row r="135" spans="1:21" hidden="1">
      <c r="A135" s="189">
        <v>12</v>
      </c>
      <c r="B135" s="190" t="s">
        <v>320</v>
      </c>
      <c r="C135" s="189" t="s">
        <v>195</v>
      </c>
      <c r="D135" s="189"/>
      <c r="E135" s="302" t="s">
        <v>427</v>
      </c>
      <c r="F135" s="189"/>
      <c r="G135" s="180" t="s">
        <v>427</v>
      </c>
      <c r="H135" s="180"/>
      <c r="I135" s="180"/>
      <c r="J135" s="180"/>
      <c r="K135" s="179"/>
      <c r="L135" s="178"/>
      <c r="M135" s="178"/>
      <c r="N135" s="190">
        <v>18</v>
      </c>
      <c r="O135" s="190">
        <v>15</v>
      </c>
      <c r="P135" s="190">
        <v>19</v>
      </c>
      <c r="Q135" s="189"/>
      <c r="R135" s="265">
        <v>1</v>
      </c>
      <c r="S135" s="195">
        <f t="shared" ref="S135:S150" si="8">R135*$V$17</f>
        <v>460.94234345939213</v>
      </c>
    </row>
    <row r="136" spans="1:21" hidden="1">
      <c r="A136" s="189">
        <v>13</v>
      </c>
      <c r="B136" s="190" t="s">
        <v>314</v>
      </c>
      <c r="C136" s="189" t="s">
        <v>195</v>
      </c>
      <c r="D136" s="189"/>
      <c r="E136" s="189"/>
      <c r="F136" s="189"/>
      <c r="G136" s="180" t="s">
        <v>427</v>
      </c>
      <c r="H136" s="180"/>
      <c r="I136" s="180"/>
      <c r="J136" s="180"/>
      <c r="K136" s="303"/>
      <c r="L136" s="178"/>
      <c r="M136" s="178"/>
      <c r="N136" s="190">
        <v>18</v>
      </c>
      <c r="O136" s="190">
        <v>13</v>
      </c>
      <c r="P136" s="190">
        <v>19</v>
      </c>
      <c r="Q136" s="189"/>
      <c r="R136" s="265">
        <v>1</v>
      </c>
      <c r="S136" s="195">
        <f>R136*$V$17</f>
        <v>460.94234345939213</v>
      </c>
      <c r="T136" s="264"/>
      <c r="U136" s="259"/>
    </row>
    <row r="137" spans="1:21">
      <c r="A137" s="189">
        <v>14</v>
      </c>
      <c r="B137" s="190" t="s">
        <v>325</v>
      </c>
      <c r="C137" s="189" t="s">
        <v>507</v>
      </c>
      <c r="D137" s="189"/>
      <c r="E137" s="189"/>
      <c r="F137" s="189"/>
      <c r="G137" s="178"/>
      <c r="H137" s="180"/>
      <c r="I137" s="180"/>
      <c r="J137" s="180" t="s">
        <v>427</v>
      </c>
      <c r="K137" s="179" t="s">
        <v>427</v>
      </c>
      <c r="L137" s="178"/>
      <c r="M137" s="178"/>
      <c r="N137" s="190">
        <v>12</v>
      </c>
      <c r="O137" s="190">
        <v>7</v>
      </c>
      <c r="P137" s="190">
        <v>18</v>
      </c>
      <c r="Q137" s="189"/>
      <c r="R137" s="265">
        <v>1.3</v>
      </c>
      <c r="S137" s="195">
        <f>R137*$V$17</f>
        <v>599.22504649720975</v>
      </c>
      <c r="T137" s="264"/>
      <c r="U137" s="259"/>
    </row>
    <row r="138" spans="1:21" hidden="1">
      <c r="A138" s="189">
        <v>15</v>
      </c>
      <c r="B138" s="190" t="s">
        <v>321</v>
      </c>
      <c r="C138" s="189" t="s">
        <v>195</v>
      </c>
      <c r="D138" s="189" t="s">
        <v>427</v>
      </c>
      <c r="E138" s="189"/>
      <c r="F138" s="189"/>
      <c r="G138" s="178" t="s">
        <v>427</v>
      </c>
      <c r="H138" s="178"/>
      <c r="I138" s="178"/>
      <c r="J138" s="178"/>
      <c r="K138" s="179"/>
      <c r="L138" s="178"/>
      <c r="M138" s="178"/>
      <c r="N138" s="190">
        <v>18</v>
      </c>
      <c r="O138" s="190">
        <v>16</v>
      </c>
      <c r="P138" s="190">
        <v>18</v>
      </c>
      <c r="Q138" s="189"/>
      <c r="R138" s="265">
        <v>1</v>
      </c>
      <c r="S138" s="195">
        <f>R138*$V$17</f>
        <v>460.94234345939213</v>
      </c>
    </row>
    <row r="139" spans="1:21" hidden="1">
      <c r="A139" s="189">
        <v>16</v>
      </c>
      <c r="B139" s="190" t="s">
        <v>310</v>
      </c>
      <c r="C139" s="189" t="s">
        <v>195</v>
      </c>
      <c r="D139" s="189"/>
      <c r="E139" s="189"/>
      <c r="F139" s="189" t="s">
        <v>427</v>
      </c>
      <c r="G139" s="180" t="s">
        <v>427</v>
      </c>
      <c r="H139" s="180"/>
      <c r="I139" s="180"/>
      <c r="J139" s="180"/>
      <c r="K139" s="303"/>
      <c r="L139" s="178"/>
      <c r="M139" s="178"/>
      <c r="N139" s="190">
        <v>19</v>
      </c>
      <c r="O139" s="190">
        <v>14</v>
      </c>
      <c r="P139" s="190">
        <v>18</v>
      </c>
      <c r="Q139" s="189"/>
      <c r="R139" s="265">
        <v>1</v>
      </c>
      <c r="S139" s="195">
        <f>R139*$V$17</f>
        <v>460.94234345939213</v>
      </c>
    </row>
    <row r="140" spans="1:21" hidden="1">
      <c r="A140" s="189">
        <v>17</v>
      </c>
      <c r="B140" s="190" t="s">
        <v>328</v>
      </c>
      <c r="C140" s="189" t="s">
        <v>195</v>
      </c>
      <c r="D140" s="189"/>
      <c r="E140" s="189"/>
      <c r="F140" s="189"/>
      <c r="G140" s="178" t="s">
        <v>427</v>
      </c>
      <c r="H140" s="178"/>
      <c r="I140" s="178"/>
      <c r="J140" s="178"/>
      <c r="K140" s="179"/>
      <c r="L140" s="178"/>
      <c r="M140" s="178"/>
      <c r="N140" s="190">
        <v>18</v>
      </c>
      <c r="O140" s="190">
        <v>15</v>
      </c>
      <c r="P140" s="190">
        <v>18</v>
      </c>
      <c r="Q140" s="189"/>
      <c r="R140" s="265">
        <v>1</v>
      </c>
      <c r="S140" s="195">
        <f t="shared" si="8"/>
        <v>460.94234345939213</v>
      </c>
      <c r="T140" s="264"/>
      <c r="U140" s="259"/>
    </row>
    <row r="141" spans="1:21" hidden="1">
      <c r="A141" s="189">
        <v>18</v>
      </c>
      <c r="B141" s="190" t="s">
        <v>334</v>
      </c>
      <c r="C141" s="189" t="s">
        <v>195</v>
      </c>
      <c r="D141" s="189"/>
      <c r="E141" s="189"/>
      <c r="F141" s="189"/>
      <c r="G141" s="180" t="s">
        <v>427</v>
      </c>
      <c r="H141" s="207"/>
      <c r="I141" s="207"/>
      <c r="J141" s="207"/>
      <c r="K141" s="179"/>
      <c r="L141" s="178"/>
      <c r="M141" s="178"/>
      <c r="N141" s="190">
        <v>18</v>
      </c>
      <c r="O141" s="190">
        <v>15</v>
      </c>
      <c r="P141" s="190">
        <v>18</v>
      </c>
      <c r="Q141" s="189"/>
      <c r="R141" s="265">
        <v>1</v>
      </c>
      <c r="S141" s="195">
        <f>R141*$V$17</f>
        <v>460.94234345939213</v>
      </c>
      <c r="T141" s="264"/>
      <c r="U141" s="259"/>
    </row>
    <row r="142" spans="1:21" hidden="1">
      <c r="A142" s="189">
        <v>19</v>
      </c>
      <c r="B142" s="190" t="s">
        <v>315</v>
      </c>
      <c r="C142" s="189" t="s">
        <v>195</v>
      </c>
      <c r="D142" s="189"/>
      <c r="E142" s="189"/>
      <c r="F142" s="189"/>
      <c r="G142" s="180" t="s">
        <v>427</v>
      </c>
      <c r="H142" s="180"/>
      <c r="I142" s="180"/>
      <c r="J142" s="180"/>
      <c r="K142" s="303"/>
      <c r="L142" s="178"/>
      <c r="M142" s="178"/>
      <c r="N142" s="190">
        <v>18</v>
      </c>
      <c r="O142" s="190">
        <v>15</v>
      </c>
      <c r="P142" s="190">
        <v>18</v>
      </c>
      <c r="Q142" s="189"/>
      <c r="R142" s="265">
        <v>1</v>
      </c>
      <c r="S142" s="195">
        <f t="shared" si="8"/>
        <v>460.94234345939213</v>
      </c>
      <c r="T142" s="264"/>
      <c r="U142" s="259"/>
    </row>
    <row r="143" spans="1:21" hidden="1">
      <c r="A143" s="189">
        <v>20</v>
      </c>
      <c r="B143" s="190" t="s">
        <v>309</v>
      </c>
      <c r="C143" s="189" t="s">
        <v>195</v>
      </c>
      <c r="D143" s="189"/>
      <c r="E143" s="189"/>
      <c r="F143" s="189" t="s">
        <v>427</v>
      </c>
      <c r="G143" s="180" t="s">
        <v>427</v>
      </c>
      <c r="H143" s="180"/>
      <c r="I143" s="180"/>
      <c r="J143" s="180"/>
      <c r="K143" s="303"/>
      <c r="L143" s="178"/>
      <c r="M143" s="178"/>
      <c r="N143" s="190">
        <v>18</v>
      </c>
      <c r="O143" s="190">
        <v>14</v>
      </c>
      <c r="P143" s="190">
        <v>16</v>
      </c>
      <c r="Q143" s="189"/>
      <c r="R143" s="265">
        <v>1</v>
      </c>
      <c r="S143" s="195">
        <f t="shared" si="8"/>
        <v>460.94234345939213</v>
      </c>
    </row>
    <row r="144" spans="1:21" hidden="1">
      <c r="A144" s="189">
        <v>21</v>
      </c>
      <c r="B144" s="190" t="s">
        <v>326</v>
      </c>
      <c r="C144" s="189" t="s">
        <v>4</v>
      </c>
      <c r="D144" s="189"/>
      <c r="E144" s="189"/>
      <c r="F144" s="189"/>
      <c r="G144" s="178"/>
      <c r="H144" s="180"/>
      <c r="I144" s="180"/>
      <c r="J144" s="180"/>
      <c r="K144" s="179" t="s">
        <v>427</v>
      </c>
      <c r="L144" s="178"/>
      <c r="M144" s="178"/>
      <c r="N144" s="190">
        <v>13</v>
      </c>
      <c r="O144" s="190">
        <v>11</v>
      </c>
      <c r="P144" s="190">
        <v>13</v>
      </c>
      <c r="Q144" s="189"/>
      <c r="R144" s="265">
        <v>1</v>
      </c>
      <c r="S144" s="195">
        <f t="shared" si="8"/>
        <v>460.94234345939213</v>
      </c>
      <c r="T144" s="264"/>
      <c r="U144" s="259"/>
    </row>
    <row r="145" spans="1:21" hidden="1">
      <c r="A145" s="189">
        <v>22</v>
      </c>
      <c r="B145" s="190" t="s">
        <v>335</v>
      </c>
      <c r="C145" s="189" t="s">
        <v>4</v>
      </c>
      <c r="D145" s="189"/>
      <c r="E145" s="189"/>
      <c r="F145" s="189"/>
      <c r="G145" s="180"/>
      <c r="H145" s="207"/>
      <c r="I145" s="207"/>
      <c r="J145" s="207"/>
      <c r="K145" s="179"/>
      <c r="L145" s="178" t="s">
        <v>427</v>
      </c>
      <c r="M145" s="178"/>
      <c r="N145" s="190">
        <v>12</v>
      </c>
      <c r="O145" s="190">
        <v>8</v>
      </c>
      <c r="P145" s="190">
        <v>13</v>
      </c>
      <c r="Q145" s="189"/>
      <c r="R145" s="265">
        <v>1</v>
      </c>
      <c r="S145" s="195">
        <f>R145*$V$17</f>
        <v>460.94234345939213</v>
      </c>
      <c r="T145" s="264"/>
      <c r="U145" s="259"/>
    </row>
    <row r="146" spans="1:21">
      <c r="A146" s="189">
        <v>23</v>
      </c>
      <c r="B146" s="190" t="s">
        <v>318</v>
      </c>
      <c r="C146" s="189" t="s">
        <v>507</v>
      </c>
      <c r="D146" s="189"/>
      <c r="E146" s="189"/>
      <c r="F146" s="189"/>
      <c r="G146" s="180"/>
      <c r="H146" s="180"/>
      <c r="I146" s="180"/>
      <c r="J146" s="180" t="s">
        <v>427</v>
      </c>
      <c r="K146" s="303" t="s">
        <v>427</v>
      </c>
      <c r="L146" s="178"/>
      <c r="M146" s="178"/>
      <c r="N146" s="190">
        <v>14</v>
      </c>
      <c r="O146" s="190">
        <v>9</v>
      </c>
      <c r="P146" s="190">
        <v>12</v>
      </c>
      <c r="Q146" s="189"/>
      <c r="R146" s="265">
        <v>1.3</v>
      </c>
      <c r="S146" s="195">
        <f>R146*$V$17</f>
        <v>599.22504649720975</v>
      </c>
      <c r="T146" s="264"/>
      <c r="U146" s="259"/>
    </row>
    <row r="147" spans="1:21">
      <c r="A147" s="189">
        <v>24</v>
      </c>
      <c r="B147" s="190" t="s">
        <v>331</v>
      </c>
      <c r="C147" s="189" t="s">
        <v>507</v>
      </c>
      <c r="D147" s="189"/>
      <c r="E147" s="189"/>
      <c r="F147" s="189"/>
      <c r="G147" s="180"/>
      <c r="H147" s="207"/>
      <c r="I147" s="207"/>
      <c r="J147" s="207" t="s">
        <v>427</v>
      </c>
      <c r="K147" s="179" t="s">
        <v>427</v>
      </c>
      <c r="L147" s="178"/>
      <c r="M147" s="178"/>
      <c r="N147" s="190">
        <v>15</v>
      </c>
      <c r="O147" s="190">
        <v>10</v>
      </c>
      <c r="P147" s="190">
        <v>11</v>
      </c>
      <c r="Q147" s="189"/>
      <c r="R147" s="265">
        <v>1.3</v>
      </c>
      <c r="S147" s="195">
        <f t="shared" si="8"/>
        <v>599.22504649720975</v>
      </c>
      <c r="T147" s="264"/>
      <c r="U147" s="259"/>
    </row>
    <row r="148" spans="1:21">
      <c r="A148" s="189">
        <v>25</v>
      </c>
      <c r="B148" s="190" t="s">
        <v>327</v>
      </c>
      <c r="C148" s="189" t="s">
        <v>507</v>
      </c>
      <c r="D148" s="189"/>
      <c r="E148" s="189"/>
      <c r="F148" s="189"/>
      <c r="G148" s="179"/>
      <c r="H148" s="179"/>
      <c r="I148" s="179"/>
      <c r="J148" s="179" t="s">
        <v>427</v>
      </c>
      <c r="K148" s="179" t="s">
        <v>427</v>
      </c>
      <c r="L148" s="178"/>
      <c r="M148" s="178"/>
      <c r="N148" s="190">
        <v>12</v>
      </c>
      <c r="O148" s="190">
        <v>9</v>
      </c>
      <c r="P148" s="190">
        <v>11</v>
      </c>
      <c r="Q148" s="189"/>
      <c r="R148" s="265">
        <v>1.3</v>
      </c>
      <c r="S148" s="195">
        <f t="shared" si="8"/>
        <v>599.22504649720975</v>
      </c>
      <c r="T148" s="264"/>
      <c r="U148" s="259"/>
    </row>
    <row r="149" spans="1:21">
      <c r="A149" s="189">
        <v>26</v>
      </c>
      <c r="B149" s="190" t="s">
        <v>317</v>
      </c>
      <c r="C149" s="189" t="s">
        <v>507</v>
      </c>
      <c r="D149" s="189"/>
      <c r="E149" s="189"/>
      <c r="F149" s="189"/>
      <c r="G149" s="180"/>
      <c r="H149" s="180"/>
      <c r="I149" s="180"/>
      <c r="J149" s="180" t="s">
        <v>427</v>
      </c>
      <c r="K149" s="303" t="s">
        <v>427</v>
      </c>
      <c r="L149" s="178"/>
      <c r="M149" s="178"/>
      <c r="N149" s="190">
        <v>10</v>
      </c>
      <c r="O149" s="190">
        <v>6</v>
      </c>
      <c r="P149" s="190">
        <v>11</v>
      </c>
      <c r="Q149" s="189"/>
      <c r="R149" s="265">
        <v>1.3</v>
      </c>
      <c r="S149" s="195">
        <f>R149*$V$17</f>
        <v>599.22504649720975</v>
      </c>
      <c r="T149" s="264"/>
      <c r="U149" s="259"/>
    </row>
    <row r="150" spans="1:21" hidden="1">
      <c r="A150" s="189">
        <v>27</v>
      </c>
      <c r="B150" s="190" t="s">
        <v>333</v>
      </c>
      <c r="C150" s="189" t="s">
        <v>4</v>
      </c>
      <c r="D150" s="189"/>
      <c r="E150" s="189"/>
      <c r="F150" s="189"/>
      <c r="G150" s="180"/>
      <c r="H150" s="207"/>
      <c r="I150" s="207"/>
      <c r="J150" s="207"/>
      <c r="K150" s="179"/>
      <c r="L150" s="178" t="s">
        <v>427</v>
      </c>
      <c r="M150" s="178"/>
      <c r="N150" s="190">
        <v>13</v>
      </c>
      <c r="O150" s="190">
        <v>9</v>
      </c>
      <c r="P150" s="190">
        <v>10</v>
      </c>
      <c r="Q150" s="189"/>
      <c r="R150" s="265">
        <v>1</v>
      </c>
      <c r="S150" s="195">
        <f t="shared" si="8"/>
        <v>460.94234345939213</v>
      </c>
      <c r="T150" s="264"/>
      <c r="U150" s="259"/>
    </row>
    <row r="151" spans="1:21" s="186" customFormat="1" hidden="1">
      <c r="A151" s="191">
        <v>8</v>
      </c>
      <c r="B151" s="192" t="s">
        <v>188</v>
      </c>
      <c r="C151" s="191"/>
      <c r="D151" s="191"/>
      <c r="E151" s="191"/>
      <c r="F151" s="191"/>
      <c r="G151" s="200"/>
      <c r="H151" s="208"/>
      <c r="I151" s="208"/>
      <c r="J151" s="208"/>
      <c r="K151" s="198"/>
      <c r="L151" s="198"/>
      <c r="M151" s="198"/>
      <c r="N151" s="197"/>
      <c r="O151" s="197"/>
      <c r="P151" s="197"/>
      <c r="Q151" s="196"/>
      <c r="R151" s="202"/>
      <c r="S151" s="192">
        <f>SUM(S152:S168)</f>
        <v>12122.783632982013</v>
      </c>
    </row>
    <row r="152" spans="1:21" hidden="1">
      <c r="A152" s="189">
        <v>1</v>
      </c>
      <c r="B152" s="190" t="s">
        <v>341</v>
      </c>
      <c r="C152" s="189" t="s">
        <v>195</v>
      </c>
      <c r="D152" s="189"/>
      <c r="E152" s="189"/>
      <c r="F152" s="189"/>
      <c r="G152" s="180"/>
      <c r="H152" s="206" t="s">
        <v>427</v>
      </c>
      <c r="I152" s="206" t="s">
        <v>427</v>
      </c>
      <c r="J152" s="206"/>
      <c r="K152" s="179"/>
      <c r="L152" s="178"/>
      <c r="M152" s="178"/>
      <c r="N152" s="190">
        <v>11</v>
      </c>
      <c r="O152" s="190">
        <v>13</v>
      </c>
      <c r="P152" s="190">
        <v>20</v>
      </c>
      <c r="Q152" s="189"/>
      <c r="R152" s="265">
        <v>1</v>
      </c>
      <c r="S152" s="195">
        <f t="shared" ref="S152:S158" si="9">R152*$V$17</f>
        <v>460.94234345939213</v>
      </c>
      <c r="T152" s="264">
        <v>1</v>
      </c>
      <c r="U152" s="183">
        <f>COUNTIF(R152:R168, "=1,0")</f>
        <v>13</v>
      </c>
    </row>
    <row r="153" spans="1:21" hidden="1">
      <c r="A153" s="189">
        <v>2</v>
      </c>
      <c r="B153" s="190" t="s">
        <v>348</v>
      </c>
      <c r="C153" s="189" t="s">
        <v>195</v>
      </c>
      <c r="D153" s="189"/>
      <c r="E153" s="189"/>
      <c r="F153" s="189"/>
      <c r="G153" s="180"/>
      <c r="H153" s="206" t="s">
        <v>427</v>
      </c>
      <c r="I153" s="206" t="s">
        <v>427</v>
      </c>
      <c r="J153" s="206"/>
      <c r="K153" s="179"/>
      <c r="L153" s="178"/>
      <c r="M153" s="178"/>
      <c r="N153" s="190">
        <v>12</v>
      </c>
      <c r="O153" s="190">
        <v>15</v>
      </c>
      <c r="P153" s="190">
        <v>20</v>
      </c>
      <c r="Q153" s="189" t="s">
        <v>427</v>
      </c>
      <c r="R153" s="265">
        <v>1</v>
      </c>
      <c r="S153" s="195">
        <f t="shared" si="9"/>
        <v>460.94234345939213</v>
      </c>
      <c r="T153" s="264">
        <v>1.3</v>
      </c>
      <c r="U153" s="183">
        <f>COUNTIF(R152:R168, "=1,3")</f>
        <v>1</v>
      </c>
    </row>
    <row r="154" spans="1:21" hidden="1">
      <c r="A154" s="189">
        <v>3</v>
      </c>
      <c r="B154" s="190" t="s">
        <v>346</v>
      </c>
      <c r="C154" s="189" t="s">
        <v>195</v>
      </c>
      <c r="D154" s="189"/>
      <c r="E154" s="189"/>
      <c r="F154" s="189"/>
      <c r="G154" s="180"/>
      <c r="H154" s="206" t="s">
        <v>427</v>
      </c>
      <c r="I154" s="206" t="s">
        <v>427</v>
      </c>
      <c r="J154" s="206"/>
      <c r="K154" s="179"/>
      <c r="L154" s="178"/>
      <c r="M154" s="178"/>
      <c r="N154" s="190">
        <v>13</v>
      </c>
      <c r="O154" s="190">
        <v>16</v>
      </c>
      <c r="P154" s="190">
        <v>20</v>
      </c>
      <c r="Q154" s="189" t="s">
        <v>427</v>
      </c>
      <c r="R154" s="265">
        <v>1</v>
      </c>
      <c r="S154" s="195">
        <f t="shared" si="9"/>
        <v>460.94234345939213</v>
      </c>
      <c r="T154" s="264">
        <v>4</v>
      </c>
      <c r="U154" s="183">
        <f>COUNTIF(R152:R168, "=4,0")</f>
        <v>3</v>
      </c>
    </row>
    <row r="155" spans="1:21" hidden="1">
      <c r="A155" s="189">
        <v>4</v>
      </c>
      <c r="B155" s="190" t="s">
        <v>344</v>
      </c>
      <c r="C155" s="189" t="s">
        <v>195</v>
      </c>
      <c r="D155" s="189"/>
      <c r="E155" s="189"/>
      <c r="F155" s="189"/>
      <c r="G155" s="180"/>
      <c r="H155" s="206" t="s">
        <v>427</v>
      </c>
      <c r="I155" s="206" t="s">
        <v>427</v>
      </c>
      <c r="J155" s="206"/>
      <c r="K155" s="179"/>
      <c r="L155" s="178"/>
      <c r="M155" s="178"/>
      <c r="N155" s="190">
        <v>9</v>
      </c>
      <c r="O155" s="190">
        <v>15</v>
      </c>
      <c r="P155" s="190">
        <v>20</v>
      </c>
      <c r="Q155" s="189" t="s">
        <v>427</v>
      </c>
      <c r="R155" s="265">
        <v>1</v>
      </c>
      <c r="S155" s="195">
        <f t="shared" si="9"/>
        <v>460.94234345939213</v>
      </c>
      <c r="T155" s="264"/>
      <c r="U155" s="259"/>
    </row>
    <row r="156" spans="1:21" hidden="1">
      <c r="A156" s="189">
        <v>5</v>
      </c>
      <c r="B156" s="190" t="s">
        <v>351</v>
      </c>
      <c r="C156" s="189" t="s">
        <v>195</v>
      </c>
      <c r="D156" s="189"/>
      <c r="E156" s="189"/>
      <c r="F156" s="189"/>
      <c r="G156" s="180"/>
      <c r="H156" s="206" t="s">
        <v>427</v>
      </c>
      <c r="I156" s="206" t="s">
        <v>427</v>
      </c>
      <c r="J156" s="206"/>
      <c r="K156" s="179"/>
      <c r="L156" s="178"/>
      <c r="M156" s="178"/>
      <c r="N156" s="190">
        <v>11</v>
      </c>
      <c r="O156" s="190">
        <v>11</v>
      </c>
      <c r="P156" s="190">
        <v>20</v>
      </c>
      <c r="Q156" s="189"/>
      <c r="R156" s="265">
        <v>1</v>
      </c>
      <c r="S156" s="195">
        <f t="shared" si="9"/>
        <v>460.94234345939213</v>
      </c>
      <c r="T156" s="264"/>
      <c r="U156" s="259"/>
    </row>
    <row r="157" spans="1:21">
      <c r="A157" s="189">
        <v>6</v>
      </c>
      <c r="B157" s="190" t="s">
        <v>345</v>
      </c>
      <c r="C157" s="189" t="s">
        <v>505</v>
      </c>
      <c r="D157" s="189"/>
      <c r="E157" s="189"/>
      <c r="F157" s="189"/>
      <c r="G157" s="180"/>
      <c r="H157" s="207"/>
      <c r="I157" s="207" t="s">
        <v>427</v>
      </c>
      <c r="J157" s="207"/>
      <c r="K157" s="179"/>
      <c r="L157" s="178"/>
      <c r="M157" s="178"/>
      <c r="N157" s="190">
        <v>9</v>
      </c>
      <c r="O157" s="190">
        <v>11</v>
      </c>
      <c r="P157" s="190">
        <v>20</v>
      </c>
      <c r="Q157" s="189" t="s">
        <v>427</v>
      </c>
      <c r="R157" s="265">
        <v>1.3</v>
      </c>
      <c r="S157" s="195">
        <f t="shared" si="9"/>
        <v>599.22504649720975</v>
      </c>
      <c r="T157" s="264"/>
      <c r="U157" s="259"/>
    </row>
    <row r="158" spans="1:21" hidden="1">
      <c r="A158" s="189">
        <v>7</v>
      </c>
      <c r="B158" s="190" t="s">
        <v>343</v>
      </c>
      <c r="C158" s="189" t="s">
        <v>195</v>
      </c>
      <c r="D158" s="189"/>
      <c r="E158" s="302" t="s">
        <v>427</v>
      </c>
      <c r="F158" s="189"/>
      <c r="G158" s="180" t="s">
        <v>427</v>
      </c>
      <c r="H158" s="207"/>
      <c r="I158" s="207"/>
      <c r="J158" s="207"/>
      <c r="K158" s="179"/>
      <c r="L158" s="178"/>
      <c r="M158" s="178"/>
      <c r="N158" s="190">
        <v>18</v>
      </c>
      <c r="O158" s="190">
        <v>18</v>
      </c>
      <c r="P158" s="190">
        <v>19</v>
      </c>
      <c r="Q158" s="189"/>
      <c r="R158" s="265">
        <v>1</v>
      </c>
      <c r="S158" s="195">
        <f t="shared" si="9"/>
        <v>460.94234345939213</v>
      </c>
      <c r="T158" s="264"/>
      <c r="U158" s="259"/>
    </row>
    <row r="159" spans="1:21" hidden="1">
      <c r="A159" s="189">
        <v>8</v>
      </c>
      <c r="B159" s="190" t="s">
        <v>337</v>
      </c>
      <c r="C159" s="189" t="s">
        <v>195</v>
      </c>
      <c r="D159" s="189"/>
      <c r="E159" s="189"/>
      <c r="F159" s="189" t="s">
        <v>427</v>
      </c>
      <c r="G159" s="180" t="s">
        <v>427</v>
      </c>
      <c r="H159" s="207"/>
      <c r="I159" s="207"/>
      <c r="J159" s="207"/>
      <c r="K159" s="179"/>
      <c r="L159" s="178"/>
      <c r="M159" s="178"/>
      <c r="N159" s="190">
        <v>19</v>
      </c>
      <c r="O159" s="190">
        <v>19</v>
      </c>
      <c r="P159" s="190">
        <v>19</v>
      </c>
      <c r="Q159" s="189"/>
      <c r="R159" s="265">
        <v>1</v>
      </c>
      <c r="S159" s="195">
        <f t="shared" ref="S159:S167" si="10">R159*$V$17</f>
        <v>460.94234345939213</v>
      </c>
    </row>
    <row r="160" spans="1:21" hidden="1">
      <c r="A160" s="189">
        <v>9</v>
      </c>
      <c r="B160" s="190" t="s">
        <v>336</v>
      </c>
      <c r="C160" s="189" t="s">
        <v>195</v>
      </c>
      <c r="D160" s="189"/>
      <c r="E160" s="189"/>
      <c r="F160" s="189" t="s">
        <v>427</v>
      </c>
      <c r="G160" s="180" t="s">
        <v>427</v>
      </c>
      <c r="H160" s="207"/>
      <c r="I160" s="207"/>
      <c r="J160" s="207"/>
      <c r="K160" s="179"/>
      <c r="L160" s="178"/>
      <c r="M160" s="178"/>
      <c r="N160" s="190">
        <v>18</v>
      </c>
      <c r="O160" s="190">
        <v>19</v>
      </c>
      <c r="P160" s="190">
        <v>19</v>
      </c>
      <c r="Q160" s="189"/>
      <c r="R160" s="265">
        <v>1</v>
      </c>
      <c r="S160" s="195">
        <f t="shared" si="10"/>
        <v>460.94234345939213</v>
      </c>
    </row>
    <row r="161" spans="1:21" hidden="1">
      <c r="A161" s="189">
        <v>10</v>
      </c>
      <c r="B161" s="190" t="s">
        <v>352</v>
      </c>
      <c r="C161" s="189" t="s">
        <v>195</v>
      </c>
      <c r="D161" s="189"/>
      <c r="E161" s="189"/>
      <c r="F161" s="189"/>
      <c r="G161" s="180" t="s">
        <v>427</v>
      </c>
      <c r="H161" s="207"/>
      <c r="I161" s="207"/>
      <c r="J161" s="207"/>
      <c r="K161" s="179"/>
      <c r="L161" s="178"/>
      <c r="M161" s="178"/>
      <c r="N161" s="190">
        <v>18</v>
      </c>
      <c r="O161" s="190">
        <v>18</v>
      </c>
      <c r="P161" s="190">
        <v>19</v>
      </c>
      <c r="Q161" s="189"/>
      <c r="R161" s="265">
        <v>1</v>
      </c>
      <c r="S161" s="195">
        <f>R161*$V$17</f>
        <v>460.94234345939213</v>
      </c>
    </row>
    <row r="162" spans="1:21" hidden="1">
      <c r="A162" s="189">
        <v>11</v>
      </c>
      <c r="B162" s="190" t="s">
        <v>340</v>
      </c>
      <c r="C162" s="189" t="s">
        <v>195</v>
      </c>
      <c r="D162" s="189"/>
      <c r="E162" s="189"/>
      <c r="F162" s="189"/>
      <c r="G162" s="180" t="s">
        <v>427</v>
      </c>
      <c r="H162" s="207"/>
      <c r="I162" s="207"/>
      <c r="J162" s="207"/>
      <c r="K162" s="179"/>
      <c r="L162" s="178"/>
      <c r="M162" s="178"/>
      <c r="N162" s="190">
        <v>18</v>
      </c>
      <c r="O162" s="190">
        <v>19</v>
      </c>
      <c r="P162" s="190">
        <v>18</v>
      </c>
      <c r="Q162" s="189"/>
      <c r="R162" s="265">
        <v>1</v>
      </c>
      <c r="S162" s="195">
        <f t="shared" si="10"/>
        <v>460.94234345939213</v>
      </c>
    </row>
    <row r="163" spans="1:21" hidden="1">
      <c r="A163" s="189">
        <v>12</v>
      </c>
      <c r="B163" s="190" t="s">
        <v>339</v>
      </c>
      <c r="C163" s="189" t="s">
        <v>195</v>
      </c>
      <c r="D163" s="189"/>
      <c r="E163" s="189"/>
      <c r="F163" s="189"/>
      <c r="G163" s="180" t="s">
        <v>427</v>
      </c>
      <c r="H163" s="207"/>
      <c r="I163" s="207"/>
      <c r="J163" s="207"/>
      <c r="K163" s="179"/>
      <c r="L163" s="178"/>
      <c r="M163" s="178"/>
      <c r="N163" s="190">
        <v>19</v>
      </c>
      <c r="O163" s="190">
        <v>19</v>
      </c>
      <c r="P163" s="190">
        <v>18</v>
      </c>
      <c r="Q163" s="189" t="s">
        <v>427</v>
      </c>
      <c r="R163" s="265">
        <v>1</v>
      </c>
      <c r="S163" s="195">
        <f t="shared" si="10"/>
        <v>460.94234345939213</v>
      </c>
      <c r="T163" s="264"/>
      <c r="U163" s="259"/>
    </row>
    <row r="164" spans="1:21" hidden="1">
      <c r="A164" s="189">
        <v>13</v>
      </c>
      <c r="B164" s="190" t="s">
        <v>350</v>
      </c>
      <c r="C164" s="189" t="s">
        <v>195</v>
      </c>
      <c r="D164" s="189"/>
      <c r="E164" s="189"/>
      <c r="F164" s="189"/>
      <c r="G164" s="180" t="s">
        <v>427</v>
      </c>
      <c r="H164" s="207"/>
      <c r="I164" s="207"/>
      <c r="J164" s="207"/>
      <c r="K164" s="179"/>
      <c r="L164" s="178"/>
      <c r="M164" s="178"/>
      <c r="N164" s="190">
        <v>18</v>
      </c>
      <c r="O164" s="190">
        <v>19</v>
      </c>
      <c r="P164" s="190">
        <v>18</v>
      </c>
      <c r="Q164" s="189"/>
      <c r="R164" s="265">
        <v>1</v>
      </c>
      <c r="S164" s="195">
        <f t="shared" si="10"/>
        <v>460.94234345939213</v>
      </c>
      <c r="T164" s="264"/>
      <c r="U164" s="259"/>
    </row>
    <row r="165" spans="1:21" hidden="1">
      <c r="A165" s="189">
        <v>14</v>
      </c>
      <c r="B165" s="190" t="s">
        <v>342</v>
      </c>
      <c r="C165" s="189" t="s">
        <v>195</v>
      </c>
      <c r="D165" s="189"/>
      <c r="E165" s="302" t="s">
        <v>427</v>
      </c>
      <c r="F165" s="189"/>
      <c r="G165" s="180" t="s">
        <v>427</v>
      </c>
      <c r="H165" s="207"/>
      <c r="I165" s="207"/>
      <c r="J165" s="207"/>
      <c r="K165" s="179"/>
      <c r="L165" s="178"/>
      <c r="M165" s="178"/>
      <c r="N165" s="190">
        <v>18</v>
      </c>
      <c r="O165" s="190">
        <v>18</v>
      </c>
      <c r="P165" s="190">
        <v>16</v>
      </c>
      <c r="Q165" s="189"/>
      <c r="R165" s="265">
        <v>1</v>
      </c>
      <c r="S165" s="195">
        <f t="shared" si="10"/>
        <v>460.94234345939213</v>
      </c>
      <c r="T165" s="264"/>
      <c r="U165" s="259"/>
    </row>
    <row r="166" spans="1:21" hidden="1">
      <c r="A166" s="189">
        <v>15</v>
      </c>
      <c r="B166" s="190" t="s">
        <v>347</v>
      </c>
      <c r="C166" s="189" t="s">
        <v>204</v>
      </c>
      <c r="D166" s="189"/>
      <c r="E166" s="189"/>
      <c r="F166" s="189"/>
      <c r="G166" s="180"/>
      <c r="H166" s="207"/>
      <c r="I166" s="207"/>
      <c r="J166" s="207" t="s">
        <v>427</v>
      </c>
      <c r="K166" s="179" t="s">
        <v>427</v>
      </c>
      <c r="L166" s="178"/>
      <c r="M166" s="178"/>
      <c r="N166" s="190">
        <v>11</v>
      </c>
      <c r="O166" s="190">
        <v>12</v>
      </c>
      <c r="P166" s="190">
        <v>13</v>
      </c>
      <c r="Q166" s="189" t="s">
        <v>427</v>
      </c>
      <c r="R166" s="265">
        <v>4</v>
      </c>
      <c r="S166" s="195">
        <f t="shared" si="10"/>
        <v>1843.7693738375685</v>
      </c>
      <c r="T166" s="264"/>
      <c r="U166" s="259"/>
    </row>
    <row r="167" spans="1:21" hidden="1">
      <c r="A167" s="189">
        <v>16</v>
      </c>
      <c r="B167" s="190" t="s">
        <v>349</v>
      </c>
      <c r="C167" s="189" t="s">
        <v>204</v>
      </c>
      <c r="D167" s="189"/>
      <c r="E167" s="189"/>
      <c r="F167" s="189"/>
      <c r="G167" s="180"/>
      <c r="H167" s="207"/>
      <c r="I167" s="207"/>
      <c r="J167" s="207" t="s">
        <v>427</v>
      </c>
      <c r="K167" s="179" t="s">
        <v>427</v>
      </c>
      <c r="L167" s="178"/>
      <c r="M167" s="178"/>
      <c r="N167" s="190">
        <v>12</v>
      </c>
      <c r="O167" s="190">
        <v>10</v>
      </c>
      <c r="P167" s="190">
        <v>13</v>
      </c>
      <c r="Q167" s="189" t="s">
        <v>427</v>
      </c>
      <c r="R167" s="265">
        <v>4</v>
      </c>
      <c r="S167" s="195">
        <f t="shared" si="10"/>
        <v>1843.7693738375685</v>
      </c>
      <c r="T167" s="264"/>
      <c r="U167" s="259"/>
    </row>
    <row r="168" spans="1:21" hidden="1">
      <c r="A168" s="189">
        <v>17</v>
      </c>
      <c r="B168" s="190" t="s">
        <v>338</v>
      </c>
      <c r="C168" s="189" t="s">
        <v>204</v>
      </c>
      <c r="D168" s="189"/>
      <c r="E168" s="189"/>
      <c r="F168" s="189"/>
      <c r="G168" s="180"/>
      <c r="H168" s="207"/>
      <c r="I168" s="207"/>
      <c r="J168" s="207" t="s">
        <v>427</v>
      </c>
      <c r="K168" s="179" t="s">
        <v>427</v>
      </c>
      <c r="L168" s="178"/>
      <c r="M168" s="178"/>
      <c r="N168" s="190">
        <v>9</v>
      </c>
      <c r="O168" s="190">
        <v>12</v>
      </c>
      <c r="P168" s="190">
        <v>12</v>
      </c>
      <c r="Q168" s="189" t="s">
        <v>427</v>
      </c>
      <c r="R168" s="265">
        <v>4</v>
      </c>
      <c r="S168" s="195">
        <f>R168*$V$17</f>
        <v>1843.7693738375685</v>
      </c>
      <c r="T168" s="183"/>
    </row>
    <row r="169" spans="1:21" s="186" customFormat="1" ht="31.5" hidden="1">
      <c r="A169" s="191">
        <v>9</v>
      </c>
      <c r="B169" s="192" t="s">
        <v>189</v>
      </c>
      <c r="C169" s="191"/>
      <c r="D169" s="191"/>
      <c r="E169" s="191"/>
      <c r="F169" s="191"/>
      <c r="G169" s="200"/>
      <c r="H169" s="208"/>
      <c r="I169" s="208"/>
      <c r="J169" s="208"/>
      <c r="K169" s="198"/>
      <c r="L169" s="198"/>
      <c r="M169" s="198"/>
      <c r="N169" s="197"/>
      <c r="O169" s="197"/>
      <c r="P169" s="197"/>
      <c r="Q169" s="196"/>
      <c r="R169" s="202"/>
      <c r="S169" s="192">
        <f>SUM(S170:S199)</f>
        <v>15764.228146311207</v>
      </c>
      <c r="T169" s="263"/>
      <c r="U169" s="260"/>
    </row>
    <row r="170" spans="1:21" hidden="1">
      <c r="A170" s="189">
        <v>1</v>
      </c>
      <c r="B170" s="190" t="s">
        <v>361</v>
      </c>
      <c r="C170" s="189" t="s">
        <v>195</v>
      </c>
      <c r="D170" s="189"/>
      <c r="E170" s="302" t="s">
        <v>427</v>
      </c>
      <c r="F170" s="189"/>
      <c r="G170" s="178" t="s">
        <v>427</v>
      </c>
      <c r="H170" s="178"/>
      <c r="I170" s="178"/>
      <c r="J170" s="178"/>
      <c r="K170" s="179"/>
      <c r="L170" s="178"/>
      <c r="M170" s="178"/>
      <c r="N170" s="190">
        <v>19</v>
      </c>
      <c r="O170" s="190">
        <v>17</v>
      </c>
      <c r="P170" s="190">
        <v>19</v>
      </c>
      <c r="Q170" s="189"/>
      <c r="R170" s="265">
        <v>1</v>
      </c>
      <c r="S170" s="195">
        <f t="shared" ref="S170:S199" si="11">R170*$V$17</f>
        <v>460.94234345939213</v>
      </c>
      <c r="T170" s="264">
        <v>4</v>
      </c>
      <c r="U170" s="183">
        <f>COUNTIF(R170:R199, "=4,0")</f>
        <v>1</v>
      </c>
    </row>
    <row r="171" spans="1:21">
      <c r="A171" s="189">
        <v>2</v>
      </c>
      <c r="B171" s="190" t="s">
        <v>380</v>
      </c>
      <c r="C171" s="189" t="s">
        <v>505</v>
      </c>
      <c r="D171" s="189"/>
      <c r="E171" s="189"/>
      <c r="F171" s="189"/>
      <c r="G171" s="178"/>
      <c r="H171" s="180"/>
      <c r="I171" s="180" t="s">
        <v>427</v>
      </c>
      <c r="J171" s="180"/>
      <c r="K171" s="179"/>
      <c r="L171" s="178"/>
      <c r="M171" s="178"/>
      <c r="N171" s="190">
        <v>12</v>
      </c>
      <c r="O171" s="190">
        <v>13</v>
      </c>
      <c r="P171" s="190">
        <v>20</v>
      </c>
      <c r="Q171" s="189"/>
      <c r="R171" s="265">
        <v>1.3</v>
      </c>
      <c r="S171" s="195">
        <f t="shared" si="11"/>
        <v>599.22504649720975</v>
      </c>
      <c r="T171" s="264">
        <v>1</v>
      </c>
      <c r="U171" s="183">
        <f>COUNTIF(R170:R199, "=1,0")</f>
        <v>25</v>
      </c>
    </row>
    <row r="172" spans="1:21" hidden="1">
      <c r="A172" s="189">
        <v>3</v>
      </c>
      <c r="B172" s="190" t="s">
        <v>357</v>
      </c>
      <c r="C172" s="189" t="s">
        <v>195</v>
      </c>
      <c r="D172" s="189"/>
      <c r="E172" s="189"/>
      <c r="F172" s="189"/>
      <c r="G172" s="178"/>
      <c r="H172" s="182" t="s">
        <v>427</v>
      </c>
      <c r="I172" s="182" t="s">
        <v>427</v>
      </c>
      <c r="J172" s="182"/>
      <c r="K172" s="179"/>
      <c r="L172" s="178"/>
      <c r="M172" s="178"/>
      <c r="N172" s="190">
        <v>12</v>
      </c>
      <c r="O172" s="190">
        <v>11</v>
      </c>
      <c r="P172" s="190">
        <v>20</v>
      </c>
      <c r="Q172" s="189"/>
      <c r="R172" s="265">
        <v>1</v>
      </c>
      <c r="S172" s="195">
        <f t="shared" si="11"/>
        <v>460.94234345939213</v>
      </c>
      <c r="T172" s="264">
        <v>1.3</v>
      </c>
      <c r="U172" s="183">
        <f>COUNTIF(R170:R199, "=1,3")</f>
        <v>4</v>
      </c>
    </row>
    <row r="173" spans="1:21">
      <c r="A173" s="189">
        <v>4</v>
      </c>
      <c r="B173" s="190" t="s">
        <v>368</v>
      </c>
      <c r="C173" s="189" t="s">
        <v>505</v>
      </c>
      <c r="D173" s="189"/>
      <c r="E173" s="189"/>
      <c r="F173" s="189"/>
      <c r="G173" s="178"/>
      <c r="H173" s="178"/>
      <c r="I173" s="178" t="s">
        <v>427</v>
      </c>
      <c r="J173" s="178"/>
      <c r="K173" s="179"/>
      <c r="L173" s="178"/>
      <c r="M173" s="178"/>
      <c r="N173" s="190">
        <v>13</v>
      </c>
      <c r="O173" s="190">
        <v>11</v>
      </c>
      <c r="P173" s="190">
        <v>20</v>
      </c>
      <c r="Q173" s="189"/>
      <c r="R173" s="265">
        <v>1.3</v>
      </c>
      <c r="S173" s="195">
        <f t="shared" si="11"/>
        <v>599.22504649720975</v>
      </c>
    </row>
    <row r="174" spans="1:21" hidden="1">
      <c r="A174" s="189">
        <v>5</v>
      </c>
      <c r="B174" s="190" t="s">
        <v>353</v>
      </c>
      <c r="C174" s="189" t="s">
        <v>195</v>
      </c>
      <c r="D174" s="189"/>
      <c r="E174" s="189"/>
      <c r="F174" s="189" t="s">
        <v>427</v>
      </c>
      <c r="G174" s="178" t="s">
        <v>427</v>
      </c>
      <c r="H174" s="178"/>
      <c r="I174" s="178"/>
      <c r="J174" s="178"/>
      <c r="K174" s="179"/>
      <c r="L174" s="178"/>
      <c r="M174" s="178"/>
      <c r="N174" s="190">
        <v>18</v>
      </c>
      <c r="O174" s="190">
        <v>19</v>
      </c>
      <c r="P174" s="190">
        <v>20</v>
      </c>
      <c r="Q174" s="189"/>
      <c r="R174" s="265">
        <v>1</v>
      </c>
      <c r="S174" s="195">
        <f t="shared" si="11"/>
        <v>460.94234345939213</v>
      </c>
    </row>
    <row r="175" spans="1:21" hidden="1">
      <c r="A175" s="189">
        <v>6</v>
      </c>
      <c r="B175" s="190" t="s">
        <v>358</v>
      </c>
      <c r="C175" s="189" t="s">
        <v>195</v>
      </c>
      <c r="D175" s="189"/>
      <c r="E175" s="189"/>
      <c r="F175" s="189"/>
      <c r="G175" s="178" t="s">
        <v>427</v>
      </c>
      <c r="H175" s="178"/>
      <c r="I175" s="178"/>
      <c r="J175" s="178"/>
      <c r="K175" s="179"/>
      <c r="L175" s="178"/>
      <c r="M175" s="178"/>
      <c r="N175" s="190">
        <v>19</v>
      </c>
      <c r="O175" s="190">
        <v>18</v>
      </c>
      <c r="P175" s="190">
        <v>20</v>
      </c>
      <c r="Q175" s="189"/>
      <c r="R175" s="265">
        <v>1</v>
      </c>
      <c r="S175" s="195">
        <f t="shared" si="11"/>
        <v>460.94234345939213</v>
      </c>
    </row>
    <row r="176" spans="1:21" hidden="1">
      <c r="A176" s="189">
        <v>7</v>
      </c>
      <c r="B176" s="190" t="s">
        <v>355</v>
      </c>
      <c r="C176" s="189" t="s">
        <v>195</v>
      </c>
      <c r="D176" s="189"/>
      <c r="E176" s="189"/>
      <c r="F176" s="189" t="s">
        <v>427</v>
      </c>
      <c r="G176" s="182" t="s">
        <v>427</v>
      </c>
      <c r="H176" s="178"/>
      <c r="I176" s="178"/>
      <c r="J176" s="178"/>
      <c r="K176" s="179"/>
      <c r="L176" s="178"/>
      <c r="M176" s="178"/>
      <c r="N176" s="190">
        <v>18</v>
      </c>
      <c r="O176" s="190">
        <v>14</v>
      </c>
      <c r="P176" s="190">
        <v>19</v>
      </c>
      <c r="Q176" s="189"/>
      <c r="R176" s="265">
        <v>1</v>
      </c>
      <c r="S176" s="195">
        <f t="shared" si="11"/>
        <v>460.94234345939213</v>
      </c>
    </row>
    <row r="177" spans="1:21" hidden="1">
      <c r="A177" s="189">
        <v>8</v>
      </c>
      <c r="B177" s="190" t="s">
        <v>359</v>
      </c>
      <c r="C177" s="189" t="s">
        <v>195</v>
      </c>
      <c r="D177" s="189"/>
      <c r="E177" s="189"/>
      <c r="F177" s="189"/>
      <c r="G177" s="178" t="s">
        <v>427</v>
      </c>
      <c r="H177" s="178"/>
      <c r="I177" s="178"/>
      <c r="J177" s="178"/>
      <c r="K177" s="179"/>
      <c r="L177" s="178"/>
      <c r="M177" s="178"/>
      <c r="N177" s="190">
        <v>18</v>
      </c>
      <c r="O177" s="190">
        <v>17</v>
      </c>
      <c r="P177" s="190">
        <v>20</v>
      </c>
      <c r="Q177" s="189"/>
      <c r="R177" s="265">
        <v>1</v>
      </c>
      <c r="S177" s="195">
        <f t="shared" si="11"/>
        <v>460.94234345939213</v>
      </c>
      <c r="T177" s="264"/>
      <c r="U177" s="259"/>
    </row>
    <row r="178" spans="1:21" hidden="1">
      <c r="A178" s="189">
        <v>9</v>
      </c>
      <c r="B178" s="190" t="s">
        <v>354</v>
      </c>
      <c r="C178" s="189" t="s">
        <v>195</v>
      </c>
      <c r="D178" s="189"/>
      <c r="E178" s="189"/>
      <c r="F178" s="189" t="s">
        <v>427</v>
      </c>
      <c r="G178" s="178" t="s">
        <v>427</v>
      </c>
      <c r="H178" s="178"/>
      <c r="I178" s="178"/>
      <c r="J178" s="178"/>
      <c r="K178" s="179"/>
      <c r="L178" s="178"/>
      <c r="M178" s="178"/>
      <c r="N178" s="190">
        <v>19</v>
      </c>
      <c r="O178" s="190">
        <v>14</v>
      </c>
      <c r="P178" s="190">
        <v>20</v>
      </c>
      <c r="Q178" s="189"/>
      <c r="R178" s="265">
        <v>1</v>
      </c>
      <c r="S178" s="195">
        <f t="shared" si="11"/>
        <v>460.94234345939213</v>
      </c>
    </row>
    <row r="179" spans="1:21" hidden="1">
      <c r="A179" s="189">
        <v>10</v>
      </c>
      <c r="B179" s="190" t="s">
        <v>362</v>
      </c>
      <c r="C179" s="189" t="s">
        <v>195</v>
      </c>
      <c r="D179" s="189"/>
      <c r="E179" s="302" t="s">
        <v>427</v>
      </c>
      <c r="F179" s="189"/>
      <c r="G179" s="178" t="s">
        <v>427</v>
      </c>
      <c r="H179" s="178"/>
      <c r="I179" s="178"/>
      <c r="J179" s="178"/>
      <c r="K179" s="179"/>
      <c r="L179" s="178"/>
      <c r="M179" s="178"/>
      <c r="N179" s="190">
        <v>18</v>
      </c>
      <c r="O179" s="190">
        <v>18</v>
      </c>
      <c r="P179" s="190">
        <v>20</v>
      </c>
      <c r="Q179" s="189"/>
      <c r="R179" s="265">
        <v>1</v>
      </c>
      <c r="S179" s="195">
        <f t="shared" si="11"/>
        <v>460.94234345939213</v>
      </c>
    </row>
    <row r="180" spans="1:21" hidden="1">
      <c r="A180" s="189">
        <v>11</v>
      </c>
      <c r="B180" s="190" t="s">
        <v>364</v>
      </c>
      <c r="C180" s="189" t="s">
        <v>195</v>
      </c>
      <c r="D180" s="189"/>
      <c r="E180" s="189"/>
      <c r="F180" s="189"/>
      <c r="G180" s="178" t="s">
        <v>427</v>
      </c>
      <c r="H180" s="178"/>
      <c r="I180" s="178"/>
      <c r="J180" s="178"/>
      <c r="K180" s="179"/>
      <c r="L180" s="178"/>
      <c r="M180" s="178"/>
      <c r="N180" s="190">
        <v>18</v>
      </c>
      <c r="O180" s="190">
        <v>17</v>
      </c>
      <c r="P180" s="190">
        <v>20</v>
      </c>
      <c r="Q180" s="189"/>
      <c r="R180" s="265">
        <v>1</v>
      </c>
      <c r="S180" s="195">
        <f t="shared" si="11"/>
        <v>460.94234345939213</v>
      </c>
      <c r="T180" s="264"/>
      <c r="U180" s="259"/>
    </row>
    <row r="181" spans="1:21" hidden="1">
      <c r="A181" s="189">
        <v>12</v>
      </c>
      <c r="B181" s="190" t="s">
        <v>376</v>
      </c>
      <c r="C181" s="189" t="s">
        <v>4</v>
      </c>
      <c r="D181" s="189"/>
      <c r="E181" s="189"/>
      <c r="F181" s="189"/>
      <c r="G181" s="178"/>
      <c r="H181" s="180"/>
      <c r="I181" s="180"/>
      <c r="J181" s="180"/>
      <c r="K181" s="179"/>
      <c r="L181" s="178"/>
      <c r="M181" s="178"/>
      <c r="N181" s="190">
        <v>12</v>
      </c>
      <c r="O181" s="190">
        <v>11</v>
      </c>
      <c r="P181" s="190">
        <v>14</v>
      </c>
      <c r="Q181" s="189"/>
      <c r="R181" s="265">
        <v>1</v>
      </c>
      <c r="S181" s="195">
        <f t="shared" si="11"/>
        <v>460.94234345939213</v>
      </c>
      <c r="T181" s="264"/>
      <c r="U181" s="259"/>
    </row>
    <row r="182" spans="1:21">
      <c r="A182" s="189">
        <v>13</v>
      </c>
      <c r="B182" s="190" t="s">
        <v>356</v>
      </c>
      <c r="C182" s="189" t="s">
        <v>197</v>
      </c>
      <c r="D182" s="189"/>
      <c r="E182" s="189"/>
      <c r="F182" s="189"/>
      <c r="G182" s="178"/>
      <c r="H182" s="178"/>
      <c r="I182" s="178"/>
      <c r="J182" s="178"/>
      <c r="K182" s="179"/>
      <c r="L182" s="178"/>
      <c r="M182" s="178"/>
      <c r="N182" s="190">
        <v>12</v>
      </c>
      <c r="O182" s="190">
        <v>13</v>
      </c>
      <c r="P182" s="190">
        <v>15</v>
      </c>
      <c r="Q182" s="189"/>
      <c r="R182" s="265">
        <v>1.3</v>
      </c>
      <c r="S182" s="195">
        <f t="shared" si="11"/>
        <v>599.22504649720975</v>
      </c>
      <c r="T182" s="264"/>
      <c r="U182" s="259"/>
    </row>
    <row r="183" spans="1:21">
      <c r="A183" s="189">
        <v>14</v>
      </c>
      <c r="B183" s="190" t="s">
        <v>372</v>
      </c>
      <c r="C183" s="189" t="s">
        <v>507</v>
      </c>
      <c r="D183" s="189"/>
      <c r="E183" s="189"/>
      <c r="F183" s="189"/>
      <c r="G183" s="178"/>
      <c r="H183" s="180"/>
      <c r="I183" s="180"/>
      <c r="J183" s="180" t="s">
        <v>427</v>
      </c>
      <c r="K183" s="179"/>
      <c r="L183" s="178"/>
      <c r="M183" s="178"/>
      <c r="N183" s="190">
        <v>13</v>
      </c>
      <c r="O183" s="190">
        <v>11</v>
      </c>
      <c r="P183" s="190">
        <v>14</v>
      </c>
      <c r="Q183" s="189"/>
      <c r="R183" s="265">
        <v>1.3</v>
      </c>
      <c r="S183" s="195">
        <f t="shared" si="11"/>
        <v>599.22504649720975</v>
      </c>
      <c r="T183" s="264"/>
      <c r="U183" s="259"/>
    </row>
    <row r="184" spans="1:21" hidden="1">
      <c r="A184" s="189">
        <v>15</v>
      </c>
      <c r="B184" s="190" t="s">
        <v>367</v>
      </c>
      <c r="C184" s="189" t="s">
        <v>4</v>
      </c>
      <c r="D184" s="189"/>
      <c r="E184" s="189"/>
      <c r="F184" s="189"/>
      <c r="G184" s="178"/>
      <c r="H184" s="178"/>
      <c r="I184" s="178"/>
      <c r="J184" s="178"/>
      <c r="K184" s="179"/>
      <c r="L184" s="178"/>
      <c r="M184" s="178"/>
      <c r="N184" s="190">
        <v>13</v>
      </c>
      <c r="O184" s="190">
        <v>10</v>
      </c>
      <c r="P184" s="190">
        <v>14</v>
      </c>
      <c r="Q184" s="189"/>
      <c r="R184" s="265">
        <v>1</v>
      </c>
      <c r="S184" s="195">
        <f t="shared" si="11"/>
        <v>460.94234345939213</v>
      </c>
      <c r="T184" s="264"/>
      <c r="U184" s="259"/>
    </row>
    <row r="185" spans="1:21" hidden="1">
      <c r="A185" s="189">
        <v>16</v>
      </c>
      <c r="B185" s="190" t="s">
        <v>360</v>
      </c>
      <c r="C185" s="189" t="s">
        <v>4</v>
      </c>
      <c r="D185" s="189"/>
      <c r="E185" s="189"/>
      <c r="F185" s="189"/>
      <c r="G185" s="178"/>
      <c r="H185" s="178"/>
      <c r="I185" s="178"/>
      <c r="J185" s="178"/>
      <c r="K185" s="179"/>
      <c r="L185" s="178"/>
      <c r="M185" s="178"/>
      <c r="N185" s="190">
        <v>11</v>
      </c>
      <c r="O185" s="190">
        <v>12</v>
      </c>
      <c r="P185" s="190">
        <v>13</v>
      </c>
      <c r="Q185" s="189"/>
      <c r="R185" s="265">
        <v>1</v>
      </c>
      <c r="S185" s="195">
        <f t="shared" si="11"/>
        <v>460.94234345939213</v>
      </c>
      <c r="T185" s="264"/>
      <c r="U185" s="259"/>
    </row>
    <row r="186" spans="1:21" hidden="1">
      <c r="A186" s="189">
        <v>17</v>
      </c>
      <c r="B186" s="190" t="s">
        <v>374</v>
      </c>
      <c r="C186" s="189" t="s">
        <v>4</v>
      </c>
      <c r="D186" s="189"/>
      <c r="E186" s="189"/>
      <c r="F186" s="189"/>
      <c r="G186" s="178"/>
      <c r="H186" s="180"/>
      <c r="I186" s="180"/>
      <c r="J186" s="180"/>
      <c r="K186" s="179"/>
      <c r="L186" s="178"/>
      <c r="M186" s="178"/>
      <c r="N186" s="190">
        <v>12</v>
      </c>
      <c r="O186" s="190">
        <v>12</v>
      </c>
      <c r="P186" s="190">
        <v>13</v>
      </c>
      <c r="Q186" s="189"/>
      <c r="R186" s="265">
        <v>1</v>
      </c>
      <c r="S186" s="195">
        <f t="shared" si="11"/>
        <v>460.94234345939213</v>
      </c>
      <c r="T186" s="264"/>
      <c r="U186" s="259"/>
    </row>
    <row r="187" spans="1:21" hidden="1">
      <c r="A187" s="189">
        <v>18</v>
      </c>
      <c r="B187" s="190" t="s">
        <v>382</v>
      </c>
      <c r="C187" s="189" t="s">
        <v>4</v>
      </c>
      <c r="D187" s="189"/>
      <c r="E187" s="189"/>
      <c r="F187" s="189"/>
      <c r="G187" s="178"/>
      <c r="H187" s="180"/>
      <c r="I187" s="180"/>
      <c r="J187" s="180"/>
      <c r="K187" s="179"/>
      <c r="L187" s="178"/>
      <c r="M187" s="178"/>
      <c r="N187" s="190">
        <v>13</v>
      </c>
      <c r="O187" s="190">
        <v>12</v>
      </c>
      <c r="P187" s="190">
        <v>13</v>
      </c>
      <c r="Q187" s="189"/>
      <c r="R187" s="265">
        <v>1</v>
      </c>
      <c r="S187" s="195">
        <f t="shared" si="11"/>
        <v>460.94234345939213</v>
      </c>
      <c r="T187" s="264"/>
      <c r="U187" s="259"/>
    </row>
    <row r="188" spans="1:21" hidden="1">
      <c r="A188" s="189">
        <v>19</v>
      </c>
      <c r="B188" s="190" t="s">
        <v>369</v>
      </c>
      <c r="C188" s="189" t="s">
        <v>4</v>
      </c>
      <c r="D188" s="189"/>
      <c r="E188" s="189"/>
      <c r="F188" s="189"/>
      <c r="G188" s="281"/>
      <c r="H188" s="281"/>
      <c r="I188" s="179"/>
      <c r="J188" s="179"/>
      <c r="K188" s="179"/>
      <c r="L188" s="178"/>
      <c r="M188" s="178"/>
      <c r="N188" s="190">
        <v>13</v>
      </c>
      <c r="O188" s="190">
        <v>9</v>
      </c>
      <c r="P188" s="190">
        <v>13</v>
      </c>
      <c r="Q188" s="189"/>
      <c r="R188" s="265">
        <v>1</v>
      </c>
      <c r="S188" s="195">
        <f t="shared" si="11"/>
        <v>460.94234345939213</v>
      </c>
      <c r="T188" s="264"/>
      <c r="U188" s="259"/>
    </row>
    <row r="189" spans="1:21" hidden="1">
      <c r="A189" s="189">
        <v>20</v>
      </c>
      <c r="B189" s="190" t="s">
        <v>378</v>
      </c>
      <c r="C189" s="189" t="s">
        <v>4</v>
      </c>
      <c r="D189" s="189"/>
      <c r="E189" s="189"/>
      <c r="F189" s="189"/>
      <c r="G189" s="178"/>
      <c r="H189" s="180"/>
      <c r="I189" s="180"/>
      <c r="J189" s="180"/>
      <c r="K189" s="179"/>
      <c r="L189" s="178"/>
      <c r="M189" s="178"/>
      <c r="N189" s="190">
        <v>10</v>
      </c>
      <c r="O189" s="190">
        <v>10</v>
      </c>
      <c r="P189" s="190">
        <v>12</v>
      </c>
      <c r="Q189" s="189"/>
      <c r="R189" s="265">
        <v>1</v>
      </c>
      <c r="S189" s="195">
        <f t="shared" si="11"/>
        <v>460.94234345939213</v>
      </c>
      <c r="T189" s="264"/>
      <c r="U189" s="259"/>
    </row>
    <row r="190" spans="1:21" hidden="1">
      <c r="A190" s="189">
        <v>21</v>
      </c>
      <c r="B190" s="190" t="s">
        <v>370</v>
      </c>
      <c r="C190" s="189" t="s">
        <v>4</v>
      </c>
      <c r="D190" s="189"/>
      <c r="E190" s="189"/>
      <c r="F190" s="189"/>
      <c r="G190" s="178"/>
      <c r="H190" s="180"/>
      <c r="I190" s="180"/>
      <c r="J190" s="180"/>
      <c r="K190" s="179"/>
      <c r="L190" s="178"/>
      <c r="M190" s="178"/>
      <c r="N190" s="190">
        <v>11</v>
      </c>
      <c r="O190" s="190">
        <v>9</v>
      </c>
      <c r="P190" s="190">
        <v>12</v>
      </c>
      <c r="Q190" s="189"/>
      <c r="R190" s="265">
        <v>1</v>
      </c>
      <c r="S190" s="195">
        <f t="shared" si="11"/>
        <v>460.94234345939213</v>
      </c>
      <c r="T190" s="264"/>
      <c r="U190" s="259"/>
    </row>
    <row r="191" spans="1:21" hidden="1">
      <c r="A191" s="189">
        <v>22</v>
      </c>
      <c r="B191" s="190" t="s">
        <v>377</v>
      </c>
      <c r="C191" s="189" t="s">
        <v>4</v>
      </c>
      <c r="D191" s="189"/>
      <c r="E191" s="189"/>
      <c r="F191" s="189"/>
      <c r="G191" s="178"/>
      <c r="H191" s="180"/>
      <c r="I191" s="180"/>
      <c r="J191" s="180"/>
      <c r="K191" s="179"/>
      <c r="L191" s="178"/>
      <c r="M191" s="178"/>
      <c r="N191" s="190">
        <v>14</v>
      </c>
      <c r="O191" s="190">
        <v>11</v>
      </c>
      <c r="P191" s="190">
        <v>12</v>
      </c>
      <c r="Q191" s="189"/>
      <c r="R191" s="265">
        <v>1</v>
      </c>
      <c r="S191" s="195">
        <f t="shared" si="11"/>
        <v>460.94234345939213</v>
      </c>
      <c r="T191" s="264"/>
      <c r="U191" s="259"/>
    </row>
    <row r="192" spans="1:21" hidden="1">
      <c r="A192" s="189">
        <v>23</v>
      </c>
      <c r="B192" s="190" t="s">
        <v>379</v>
      </c>
      <c r="C192" s="189" t="s">
        <v>4</v>
      </c>
      <c r="D192" s="189"/>
      <c r="E192" s="189"/>
      <c r="F192" s="189"/>
      <c r="G192" s="178"/>
      <c r="H192" s="180"/>
      <c r="I192" s="180"/>
      <c r="J192" s="180"/>
      <c r="K192" s="179"/>
      <c r="L192" s="178"/>
      <c r="M192" s="178"/>
      <c r="N192" s="190">
        <v>13</v>
      </c>
      <c r="O192" s="190">
        <v>9</v>
      </c>
      <c r="P192" s="190">
        <v>12</v>
      </c>
      <c r="Q192" s="189"/>
      <c r="R192" s="265">
        <v>1</v>
      </c>
      <c r="S192" s="195">
        <f t="shared" si="11"/>
        <v>460.94234345939213</v>
      </c>
      <c r="T192" s="264"/>
      <c r="U192" s="259"/>
    </row>
    <row r="193" spans="1:21" hidden="1">
      <c r="A193" s="189">
        <v>24</v>
      </c>
      <c r="B193" s="190" t="s">
        <v>381</v>
      </c>
      <c r="C193" s="189" t="s">
        <v>4</v>
      </c>
      <c r="D193" s="189"/>
      <c r="E193" s="189"/>
      <c r="F193" s="189"/>
      <c r="G193" s="178"/>
      <c r="H193" s="180"/>
      <c r="I193" s="180"/>
      <c r="J193" s="180"/>
      <c r="K193" s="179"/>
      <c r="L193" s="178"/>
      <c r="M193" s="178"/>
      <c r="N193" s="190">
        <v>11</v>
      </c>
      <c r="O193" s="190">
        <v>9</v>
      </c>
      <c r="P193" s="190">
        <v>12</v>
      </c>
      <c r="Q193" s="189"/>
      <c r="R193" s="265">
        <v>1</v>
      </c>
      <c r="S193" s="195">
        <f t="shared" si="11"/>
        <v>460.94234345939213</v>
      </c>
      <c r="T193" s="264"/>
      <c r="U193" s="259"/>
    </row>
    <row r="194" spans="1:21" hidden="1">
      <c r="A194" s="189">
        <v>25</v>
      </c>
      <c r="B194" s="190" t="s">
        <v>366</v>
      </c>
      <c r="C194" s="189" t="s">
        <v>4</v>
      </c>
      <c r="D194" s="189"/>
      <c r="E194" s="189"/>
      <c r="F194" s="189"/>
      <c r="G194" s="178"/>
      <c r="H194" s="178"/>
      <c r="I194" s="178"/>
      <c r="J194" s="178"/>
      <c r="K194" s="179"/>
      <c r="L194" s="178"/>
      <c r="M194" s="178"/>
      <c r="N194" s="190">
        <v>11</v>
      </c>
      <c r="O194" s="190">
        <v>11</v>
      </c>
      <c r="P194" s="190">
        <v>11</v>
      </c>
      <c r="Q194" s="189"/>
      <c r="R194" s="265">
        <v>1</v>
      </c>
      <c r="S194" s="195">
        <f t="shared" si="11"/>
        <v>460.94234345939213</v>
      </c>
      <c r="T194" s="264"/>
      <c r="U194" s="259"/>
    </row>
    <row r="195" spans="1:21" hidden="1">
      <c r="A195" s="189">
        <v>26</v>
      </c>
      <c r="B195" s="190" t="s">
        <v>365</v>
      </c>
      <c r="C195" s="189" t="s">
        <v>4</v>
      </c>
      <c r="D195" s="189"/>
      <c r="E195" s="189"/>
      <c r="F195" s="189"/>
      <c r="G195" s="178"/>
      <c r="H195" s="178"/>
      <c r="I195" s="178"/>
      <c r="J195" s="178"/>
      <c r="K195" s="179"/>
      <c r="L195" s="178"/>
      <c r="M195" s="178"/>
      <c r="N195" s="190">
        <v>11</v>
      </c>
      <c r="O195" s="190">
        <v>10</v>
      </c>
      <c r="P195" s="190">
        <v>11</v>
      </c>
      <c r="Q195" s="189"/>
      <c r="R195" s="265">
        <v>1</v>
      </c>
      <c r="S195" s="195">
        <f t="shared" si="11"/>
        <v>460.94234345939213</v>
      </c>
      <c r="T195" s="264"/>
      <c r="U195" s="259"/>
    </row>
    <row r="196" spans="1:21" hidden="1">
      <c r="A196" s="189">
        <v>27</v>
      </c>
      <c r="B196" s="190" t="s">
        <v>375</v>
      </c>
      <c r="C196" s="189" t="s">
        <v>4</v>
      </c>
      <c r="D196" s="189"/>
      <c r="E196" s="189"/>
      <c r="F196" s="189"/>
      <c r="G196" s="178"/>
      <c r="H196" s="180"/>
      <c r="I196" s="180"/>
      <c r="J196" s="180"/>
      <c r="K196" s="179"/>
      <c r="L196" s="178"/>
      <c r="M196" s="178"/>
      <c r="N196" s="190">
        <v>11</v>
      </c>
      <c r="O196" s="190">
        <v>10</v>
      </c>
      <c r="P196" s="190">
        <v>11</v>
      </c>
      <c r="Q196" s="189"/>
      <c r="R196" s="265">
        <v>1</v>
      </c>
      <c r="S196" s="195">
        <f t="shared" si="11"/>
        <v>460.94234345939213</v>
      </c>
      <c r="T196" s="264"/>
      <c r="U196" s="259"/>
    </row>
    <row r="197" spans="1:21" hidden="1">
      <c r="A197" s="189">
        <v>28</v>
      </c>
      <c r="B197" s="190" t="s">
        <v>373</v>
      </c>
      <c r="C197" s="189" t="s">
        <v>4</v>
      </c>
      <c r="D197" s="189"/>
      <c r="E197" s="189"/>
      <c r="F197" s="189"/>
      <c r="G197" s="178"/>
      <c r="H197" s="180"/>
      <c r="I197" s="180"/>
      <c r="J197" s="180"/>
      <c r="K197" s="179"/>
      <c r="L197" s="178"/>
      <c r="M197" s="178"/>
      <c r="N197" s="190">
        <v>10</v>
      </c>
      <c r="O197" s="190">
        <v>9</v>
      </c>
      <c r="P197" s="190">
        <v>11</v>
      </c>
      <c r="Q197" s="189"/>
      <c r="R197" s="265">
        <v>1</v>
      </c>
      <c r="S197" s="195">
        <f t="shared" si="11"/>
        <v>460.94234345939213</v>
      </c>
      <c r="T197" s="264"/>
      <c r="U197" s="259"/>
    </row>
    <row r="198" spans="1:21" hidden="1">
      <c r="A198" s="189">
        <v>29</v>
      </c>
      <c r="B198" s="190" t="s">
        <v>371</v>
      </c>
      <c r="C198" s="189" t="s">
        <v>4</v>
      </c>
      <c r="D198" s="189"/>
      <c r="E198" s="189"/>
      <c r="F198" s="189"/>
      <c r="G198" s="178"/>
      <c r="H198" s="180"/>
      <c r="I198" s="180"/>
      <c r="J198" s="180"/>
      <c r="K198" s="179"/>
      <c r="L198" s="178"/>
      <c r="M198" s="178"/>
      <c r="N198" s="190">
        <v>12</v>
      </c>
      <c r="O198" s="190">
        <v>10</v>
      </c>
      <c r="P198" s="190">
        <v>11</v>
      </c>
      <c r="Q198" s="189"/>
      <c r="R198" s="265">
        <v>1</v>
      </c>
      <c r="S198" s="195">
        <f t="shared" si="11"/>
        <v>460.94234345939213</v>
      </c>
      <c r="T198" s="264"/>
      <c r="U198" s="259"/>
    </row>
    <row r="199" spans="1:21" hidden="1">
      <c r="A199" s="189">
        <v>30</v>
      </c>
      <c r="B199" s="190" t="s">
        <v>363</v>
      </c>
      <c r="C199" s="189" t="s">
        <v>204</v>
      </c>
      <c r="D199" s="189"/>
      <c r="E199" s="189"/>
      <c r="F199" s="189"/>
      <c r="G199" s="178"/>
      <c r="H199" s="178"/>
      <c r="I199" s="178"/>
      <c r="J199" s="178"/>
      <c r="K199" s="179"/>
      <c r="L199" s="178"/>
      <c r="M199" s="178"/>
      <c r="N199" s="190">
        <v>12</v>
      </c>
      <c r="O199" s="190">
        <v>8</v>
      </c>
      <c r="P199" s="190">
        <v>11</v>
      </c>
      <c r="Q199" s="189" t="s">
        <v>427</v>
      </c>
      <c r="R199" s="265">
        <v>4</v>
      </c>
      <c r="S199" s="195">
        <f t="shared" si="11"/>
        <v>1843.7693738375685</v>
      </c>
      <c r="T199" s="264"/>
      <c r="U199" s="259"/>
    </row>
    <row r="200" spans="1:21" s="186" customFormat="1" ht="31.5" hidden="1">
      <c r="A200" s="191">
        <v>10</v>
      </c>
      <c r="B200" s="192" t="s">
        <v>190</v>
      </c>
      <c r="C200" s="191"/>
      <c r="D200" s="191"/>
      <c r="E200" s="191"/>
      <c r="F200" s="191"/>
      <c r="G200" s="198"/>
      <c r="H200" s="200"/>
      <c r="I200" s="200"/>
      <c r="J200" s="200"/>
      <c r="K200" s="198"/>
      <c r="L200" s="198"/>
      <c r="M200" s="198"/>
      <c r="N200" s="197"/>
      <c r="O200" s="197"/>
      <c r="P200" s="197"/>
      <c r="Q200" s="196"/>
      <c r="R200" s="202"/>
      <c r="S200" s="192">
        <f>SUM(S201:S221)</f>
        <v>13966.553006819579</v>
      </c>
      <c r="T200" s="263"/>
      <c r="U200" s="260"/>
    </row>
    <row r="201" spans="1:21" hidden="1">
      <c r="A201" s="189">
        <v>1</v>
      </c>
      <c r="B201" s="190" t="s">
        <v>383</v>
      </c>
      <c r="C201" s="189" t="s">
        <v>195</v>
      </c>
      <c r="D201" s="189"/>
      <c r="E201" s="189"/>
      <c r="F201" s="189" t="s">
        <v>427</v>
      </c>
      <c r="G201" s="178" t="s">
        <v>427</v>
      </c>
      <c r="H201" s="180"/>
      <c r="I201" s="180"/>
      <c r="J201" s="180"/>
      <c r="K201" s="179"/>
      <c r="L201" s="178"/>
      <c r="M201" s="178"/>
      <c r="N201" s="190">
        <v>19</v>
      </c>
      <c r="O201" s="190">
        <v>20</v>
      </c>
      <c r="P201" s="190">
        <v>20</v>
      </c>
      <c r="Q201" s="189"/>
      <c r="R201" s="265">
        <v>1</v>
      </c>
      <c r="S201" s="195">
        <f t="shared" ref="S201:S219" si="12">R201*$V$17</f>
        <v>460.94234345939213</v>
      </c>
      <c r="T201" s="264">
        <v>1.3</v>
      </c>
      <c r="U201" s="183">
        <f>COUNTIF(R201:R221, "=1,3")</f>
        <v>1</v>
      </c>
    </row>
    <row r="202" spans="1:21" hidden="1">
      <c r="A202" s="189">
        <v>2</v>
      </c>
      <c r="B202" s="190" t="s">
        <v>388</v>
      </c>
      <c r="C202" s="189" t="s">
        <v>195</v>
      </c>
      <c r="D202" s="189"/>
      <c r="E202" s="302" t="s">
        <v>427</v>
      </c>
      <c r="F202" s="189"/>
      <c r="G202" s="179" t="s">
        <v>427</v>
      </c>
      <c r="H202" s="180"/>
      <c r="I202" s="180"/>
      <c r="J202" s="180"/>
      <c r="K202" s="179"/>
      <c r="L202" s="178"/>
      <c r="M202" s="178"/>
      <c r="N202" s="190">
        <v>18</v>
      </c>
      <c r="O202" s="190">
        <v>20</v>
      </c>
      <c r="P202" s="190">
        <v>20</v>
      </c>
      <c r="Q202" s="189"/>
      <c r="R202" s="265">
        <v>1</v>
      </c>
      <c r="S202" s="195">
        <f t="shared" si="12"/>
        <v>460.94234345939213</v>
      </c>
      <c r="T202" s="264">
        <v>4</v>
      </c>
      <c r="U202" s="183">
        <f>COUNTIF(R201:R221, "=4,0")</f>
        <v>3</v>
      </c>
    </row>
    <row r="203" spans="1:21" hidden="1">
      <c r="A203" s="189">
        <v>3</v>
      </c>
      <c r="B203" s="190" t="s">
        <v>384</v>
      </c>
      <c r="C203" s="189" t="s">
        <v>195</v>
      </c>
      <c r="D203" s="189"/>
      <c r="E203" s="189"/>
      <c r="F203" s="189" t="s">
        <v>427</v>
      </c>
      <c r="G203" s="178" t="s">
        <v>427</v>
      </c>
      <c r="H203" s="180"/>
      <c r="I203" s="180"/>
      <c r="J203" s="180"/>
      <c r="K203" s="179"/>
      <c r="L203" s="178"/>
      <c r="M203" s="178"/>
      <c r="N203" s="190">
        <v>18</v>
      </c>
      <c r="O203" s="190">
        <v>11</v>
      </c>
      <c r="P203" s="190">
        <v>20</v>
      </c>
      <c r="Q203" s="189"/>
      <c r="R203" s="265">
        <v>1</v>
      </c>
      <c r="S203" s="195">
        <f>R203*$V$17</f>
        <v>460.94234345939213</v>
      </c>
      <c r="T203" s="264">
        <v>1</v>
      </c>
      <c r="U203" s="183">
        <f>COUNTIF(R201:R221, "=1,0")</f>
        <v>17</v>
      </c>
    </row>
    <row r="204" spans="1:21" hidden="1">
      <c r="A204" s="189">
        <v>4</v>
      </c>
      <c r="B204" s="190" t="s">
        <v>387</v>
      </c>
      <c r="C204" s="189" t="s">
        <v>195</v>
      </c>
      <c r="D204" s="189"/>
      <c r="E204" s="302" t="s">
        <v>427</v>
      </c>
      <c r="F204" s="189"/>
      <c r="G204" s="178" t="s">
        <v>427</v>
      </c>
      <c r="H204" s="180"/>
      <c r="I204" s="180"/>
      <c r="J204" s="180"/>
      <c r="K204" s="179"/>
      <c r="L204" s="178"/>
      <c r="M204" s="178"/>
      <c r="N204" s="190">
        <v>18</v>
      </c>
      <c r="O204" s="190">
        <v>11</v>
      </c>
      <c r="P204" s="190">
        <v>19</v>
      </c>
      <c r="Q204" s="189"/>
      <c r="R204" s="265">
        <v>1</v>
      </c>
      <c r="S204" s="195">
        <f>R204*$V$17</f>
        <v>460.94234345939213</v>
      </c>
      <c r="T204" s="264"/>
      <c r="U204" s="259"/>
    </row>
    <row r="205" spans="1:21" hidden="1">
      <c r="A205" s="189">
        <v>5</v>
      </c>
      <c r="B205" s="190" t="s">
        <v>385</v>
      </c>
      <c r="C205" s="189" t="s">
        <v>195</v>
      </c>
      <c r="D205" s="189"/>
      <c r="E205" s="189"/>
      <c r="F205" s="189"/>
      <c r="G205" s="178"/>
      <c r="H205" s="180" t="s">
        <v>427</v>
      </c>
      <c r="I205" s="180" t="s">
        <v>427</v>
      </c>
      <c r="J205" s="180"/>
      <c r="K205" s="179"/>
      <c r="L205" s="178"/>
      <c r="M205" s="178"/>
      <c r="N205" s="190">
        <v>10</v>
      </c>
      <c r="O205" s="190">
        <v>11</v>
      </c>
      <c r="P205" s="190">
        <v>20</v>
      </c>
      <c r="Q205" s="189" t="s">
        <v>427</v>
      </c>
      <c r="R205" s="265">
        <v>1</v>
      </c>
      <c r="S205" s="195">
        <f>R205*$V$17</f>
        <v>460.94234345939213</v>
      </c>
      <c r="T205" s="183"/>
    </row>
    <row r="206" spans="1:21" hidden="1">
      <c r="A206" s="189">
        <v>6</v>
      </c>
      <c r="B206" s="190" t="s">
        <v>386</v>
      </c>
      <c r="C206" s="189" t="s">
        <v>204</v>
      </c>
      <c r="D206" s="189"/>
      <c r="E206" s="189"/>
      <c r="F206" s="189"/>
      <c r="G206" s="178"/>
      <c r="H206" s="180"/>
      <c r="I206" s="180"/>
      <c r="J206" s="180"/>
      <c r="K206" s="179"/>
      <c r="L206" s="178"/>
      <c r="M206" s="178"/>
      <c r="N206" s="190">
        <v>14</v>
      </c>
      <c r="O206" s="190">
        <v>9</v>
      </c>
      <c r="P206" s="190">
        <v>20</v>
      </c>
      <c r="Q206" s="189" t="s">
        <v>427</v>
      </c>
      <c r="R206" s="265">
        <v>4</v>
      </c>
      <c r="S206" s="195">
        <f>R206*$V$17</f>
        <v>1843.7693738375685</v>
      </c>
      <c r="T206" s="264"/>
      <c r="U206" s="259"/>
    </row>
    <row r="207" spans="1:21">
      <c r="A207" s="189">
        <v>7</v>
      </c>
      <c r="B207" s="190" t="s">
        <v>402</v>
      </c>
      <c r="C207" s="189" t="s">
        <v>507</v>
      </c>
      <c r="D207" s="189"/>
      <c r="E207" s="189"/>
      <c r="F207" s="189"/>
      <c r="G207" s="178"/>
      <c r="H207" s="180"/>
      <c r="I207" s="180"/>
      <c r="J207" s="180" t="s">
        <v>427</v>
      </c>
      <c r="K207" s="303" t="s">
        <v>427</v>
      </c>
      <c r="L207" s="178"/>
      <c r="M207" s="178"/>
      <c r="N207" s="190">
        <v>10</v>
      </c>
      <c r="O207" s="190">
        <v>20</v>
      </c>
      <c r="P207" s="190">
        <v>13</v>
      </c>
      <c r="Q207" s="189"/>
      <c r="R207" s="265">
        <v>1.3</v>
      </c>
      <c r="S207" s="195">
        <f>R207*$V$17</f>
        <v>599.22504649720975</v>
      </c>
    </row>
    <row r="208" spans="1:21" hidden="1">
      <c r="A208" s="189">
        <v>8</v>
      </c>
      <c r="B208" s="190" t="s">
        <v>398</v>
      </c>
      <c r="C208" s="189" t="s">
        <v>4</v>
      </c>
      <c r="D208" s="189"/>
      <c r="E208" s="189"/>
      <c r="F208" s="189"/>
      <c r="G208" s="178"/>
      <c r="H208" s="180"/>
      <c r="I208" s="180"/>
      <c r="J208" s="180"/>
      <c r="K208" s="303"/>
      <c r="L208" s="178"/>
      <c r="M208" s="178"/>
      <c r="N208" s="190">
        <v>10</v>
      </c>
      <c r="O208" s="190">
        <v>20</v>
      </c>
      <c r="P208" s="190">
        <v>12</v>
      </c>
      <c r="Q208" s="189"/>
      <c r="R208" s="265">
        <v>1</v>
      </c>
      <c r="S208" s="195">
        <f t="shared" si="12"/>
        <v>460.94234345939213</v>
      </c>
      <c r="T208" s="183"/>
    </row>
    <row r="209" spans="1:21" hidden="1">
      <c r="A209" s="189">
        <v>9</v>
      </c>
      <c r="B209" s="190" t="s">
        <v>403</v>
      </c>
      <c r="C209" s="189" t="s">
        <v>4</v>
      </c>
      <c r="D209" s="189"/>
      <c r="E209" s="189"/>
      <c r="F209" s="189"/>
      <c r="G209" s="178"/>
      <c r="H209" s="180"/>
      <c r="I209" s="180"/>
      <c r="J209" s="180"/>
      <c r="K209" s="303"/>
      <c r="L209" s="178"/>
      <c r="M209" s="178"/>
      <c r="N209" s="190">
        <v>11</v>
      </c>
      <c r="O209" s="190">
        <v>11</v>
      </c>
      <c r="P209" s="190">
        <v>12</v>
      </c>
      <c r="Q209" s="189"/>
      <c r="R209" s="265">
        <v>1</v>
      </c>
      <c r="S209" s="195">
        <f>R209*$V$17</f>
        <v>460.94234345939213</v>
      </c>
      <c r="T209" s="264"/>
      <c r="U209" s="259"/>
    </row>
    <row r="210" spans="1:21" hidden="1">
      <c r="A210" s="189">
        <v>10</v>
      </c>
      <c r="B210" s="190" t="s">
        <v>396</v>
      </c>
      <c r="C210" s="189" t="s">
        <v>4</v>
      </c>
      <c r="D210" s="189"/>
      <c r="E210" s="189"/>
      <c r="F210" s="189"/>
      <c r="G210" s="178"/>
      <c r="H210" s="180"/>
      <c r="I210" s="180"/>
      <c r="J210" s="180"/>
      <c r="K210" s="303"/>
      <c r="L210" s="178"/>
      <c r="M210" s="178"/>
      <c r="N210" s="190">
        <v>10</v>
      </c>
      <c r="O210" s="190">
        <v>10</v>
      </c>
      <c r="P210" s="190">
        <v>12</v>
      </c>
      <c r="Q210" s="189"/>
      <c r="R210" s="265">
        <v>1</v>
      </c>
      <c r="S210" s="195">
        <f>R210*$V$17</f>
        <v>460.94234345939213</v>
      </c>
      <c r="T210" s="264"/>
      <c r="U210" s="259"/>
    </row>
    <row r="211" spans="1:21" hidden="1">
      <c r="A211" s="189">
        <v>11</v>
      </c>
      <c r="B211" s="190" t="s">
        <v>395</v>
      </c>
      <c r="C211" s="189" t="s">
        <v>4</v>
      </c>
      <c r="D211" s="189"/>
      <c r="E211" s="189"/>
      <c r="F211" s="189"/>
      <c r="G211" s="178"/>
      <c r="H211" s="180"/>
      <c r="I211" s="180"/>
      <c r="J211" s="180"/>
      <c r="K211" s="303"/>
      <c r="L211" s="178"/>
      <c r="M211" s="178"/>
      <c r="N211" s="190">
        <v>9</v>
      </c>
      <c r="O211" s="190">
        <v>17</v>
      </c>
      <c r="P211" s="190">
        <v>11</v>
      </c>
      <c r="Q211" s="189"/>
      <c r="R211" s="265">
        <v>1</v>
      </c>
      <c r="S211" s="195">
        <f t="shared" si="12"/>
        <v>460.94234345939213</v>
      </c>
      <c r="T211" s="264"/>
      <c r="U211" s="259"/>
    </row>
    <row r="212" spans="1:21" hidden="1">
      <c r="A212" s="189">
        <v>12</v>
      </c>
      <c r="B212" s="190" t="s">
        <v>390</v>
      </c>
      <c r="C212" s="189" t="s">
        <v>4</v>
      </c>
      <c r="D212" s="189"/>
      <c r="E212" s="189"/>
      <c r="F212" s="189"/>
      <c r="G212" s="178"/>
      <c r="H212" s="180"/>
      <c r="I212" s="180"/>
      <c r="J212" s="180"/>
      <c r="K212" s="303"/>
      <c r="L212" s="178"/>
      <c r="M212" s="178"/>
      <c r="N212" s="190">
        <v>9</v>
      </c>
      <c r="O212" s="190">
        <v>12</v>
      </c>
      <c r="P212" s="190">
        <v>11</v>
      </c>
      <c r="Q212" s="189"/>
      <c r="R212" s="265">
        <v>1</v>
      </c>
      <c r="S212" s="195">
        <f t="shared" si="12"/>
        <v>460.94234345939213</v>
      </c>
      <c r="T212" s="264"/>
      <c r="U212" s="259"/>
    </row>
    <row r="213" spans="1:21" hidden="1">
      <c r="A213" s="189">
        <v>13</v>
      </c>
      <c r="B213" s="190" t="s">
        <v>399</v>
      </c>
      <c r="C213" s="189" t="s">
        <v>4</v>
      </c>
      <c r="D213" s="189"/>
      <c r="E213" s="189"/>
      <c r="F213" s="189"/>
      <c r="G213" s="178"/>
      <c r="H213" s="180"/>
      <c r="I213" s="180"/>
      <c r="J213" s="180"/>
      <c r="K213" s="303"/>
      <c r="L213" s="178"/>
      <c r="M213" s="178"/>
      <c r="N213" s="190">
        <v>10</v>
      </c>
      <c r="O213" s="190">
        <v>11</v>
      </c>
      <c r="P213" s="190">
        <v>11</v>
      </c>
      <c r="Q213" s="189"/>
      <c r="R213" s="265">
        <v>1</v>
      </c>
      <c r="S213" s="195">
        <f>R213*$V$17</f>
        <v>460.94234345939213</v>
      </c>
      <c r="T213" s="264"/>
      <c r="U213" s="259"/>
    </row>
    <row r="214" spans="1:21" hidden="1">
      <c r="A214" s="189">
        <v>14</v>
      </c>
      <c r="B214" s="190" t="s">
        <v>389</v>
      </c>
      <c r="C214" s="189" t="s">
        <v>4</v>
      </c>
      <c r="D214" s="189"/>
      <c r="E214" s="189"/>
      <c r="F214" s="189"/>
      <c r="G214" s="178"/>
      <c r="H214" s="180"/>
      <c r="I214" s="180"/>
      <c r="J214" s="180"/>
      <c r="K214" s="303"/>
      <c r="L214" s="178"/>
      <c r="M214" s="178"/>
      <c r="N214" s="190">
        <v>10</v>
      </c>
      <c r="O214" s="190">
        <v>10</v>
      </c>
      <c r="P214" s="190">
        <v>11</v>
      </c>
      <c r="Q214" s="189"/>
      <c r="R214" s="265">
        <v>1</v>
      </c>
      <c r="S214" s="195">
        <f t="shared" si="12"/>
        <v>460.94234345939213</v>
      </c>
      <c r="T214" s="264"/>
      <c r="U214" s="259"/>
    </row>
    <row r="215" spans="1:21" hidden="1">
      <c r="A215" s="189">
        <v>15</v>
      </c>
      <c r="B215" s="190" t="s">
        <v>393</v>
      </c>
      <c r="C215" s="189" t="s">
        <v>204</v>
      </c>
      <c r="D215" s="189"/>
      <c r="E215" s="189"/>
      <c r="F215" s="189"/>
      <c r="G215" s="178"/>
      <c r="H215" s="180"/>
      <c r="I215" s="180"/>
      <c r="J215" s="180"/>
      <c r="K215" s="303"/>
      <c r="L215" s="178"/>
      <c r="M215" s="178"/>
      <c r="N215" s="190">
        <v>9</v>
      </c>
      <c r="O215" s="190">
        <v>10</v>
      </c>
      <c r="P215" s="190">
        <v>11</v>
      </c>
      <c r="Q215" s="189" t="s">
        <v>427</v>
      </c>
      <c r="R215" s="265">
        <v>4</v>
      </c>
      <c r="S215" s="195">
        <f t="shared" si="12"/>
        <v>1843.7693738375685</v>
      </c>
      <c r="T215" s="264"/>
      <c r="U215" s="259"/>
    </row>
    <row r="216" spans="1:21" hidden="1">
      <c r="A216" s="189">
        <v>16</v>
      </c>
      <c r="B216" s="190" t="s">
        <v>400</v>
      </c>
      <c r="C216" s="189" t="s">
        <v>4</v>
      </c>
      <c r="D216" s="189"/>
      <c r="E216" s="189"/>
      <c r="F216" s="189"/>
      <c r="G216" s="178"/>
      <c r="H216" s="180"/>
      <c r="I216" s="180"/>
      <c r="J216" s="180"/>
      <c r="K216" s="303"/>
      <c r="L216" s="178"/>
      <c r="M216" s="178"/>
      <c r="N216" s="190">
        <v>10</v>
      </c>
      <c r="O216" s="190">
        <v>10</v>
      </c>
      <c r="P216" s="190">
        <v>11</v>
      </c>
      <c r="Q216" s="189"/>
      <c r="R216" s="265">
        <v>1</v>
      </c>
      <c r="S216" s="195">
        <f t="shared" si="12"/>
        <v>460.94234345939213</v>
      </c>
      <c r="T216" s="264"/>
      <c r="U216" s="259"/>
    </row>
    <row r="217" spans="1:21" hidden="1">
      <c r="A217" s="189">
        <v>17</v>
      </c>
      <c r="B217" s="190" t="s">
        <v>391</v>
      </c>
      <c r="C217" s="189" t="s">
        <v>4</v>
      </c>
      <c r="D217" s="189"/>
      <c r="E217" s="189"/>
      <c r="F217" s="189"/>
      <c r="G217" s="178"/>
      <c r="H217" s="180"/>
      <c r="I217" s="180"/>
      <c r="J217" s="180"/>
      <c r="K217" s="303"/>
      <c r="L217" s="178"/>
      <c r="M217" s="178"/>
      <c r="N217" s="190">
        <v>10</v>
      </c>
      <c r="O217" s="190">
        <v>9</v>
      </c>
      <c r="P217" s="190">
        <v>11</v>
      </c>
      <c r="Q217" s="189"/>
      <c r="R217" s="265">
        <v>1</v>
      </c>
      <c r="S217" s="195">
        <f t="shared" si="12"/>
        <v>460.94234345939213</v>
      </c>
      <c r="T217" s="264"/>
      <c r="U217" s="259"/>
    </row>
    <row r="218" spans="1:21" hidden="1">
      <c r="A218" s="189">
        <v>18</v>
      </c>
      <c r="B218" s="190" t="s">
        <v>394</v>
      </c>
      <c r="C218" s="189" t="s">
        <v>4</v>
      </c>
      <c r="D218" s="189"/>
      <c r="E218" s="189"/>
      <c r="F218" s="189"/>
      <c r="G218" s="178"/>
      <c r="H218" s="180"/>
      <c r="I218" s="180"/>
      <c r="J218" s="180"/>
      <c r="K218" s="303"/>
      <c r="L218" s="178"/>
      <c r="M218" s="178"/>
      <c r="N218" s="190">
        <v>10</v>
      </c>
      <c r="O218" s="190">
        <v>9</v>
      </c>
      <c r="P218" s="190">
        <v>11</v>
      </c>
      <c r="Q218" s="189"/>
      <c r="R218" s="265">
        <v>1</v>
      </c>
      <c r="S218" s="195">
        <f t="shared" si="12"/>
        <v>460.94234345939213</v>
      </c>
      <c r="T218" s="264"/>
      <c r="U218" s="259"/>
    </row>
    <row r="219" spans="1:21" hidden="1">
      <c r="A219" s="189">
        <v>19</v>
      </c>
      <c r="B219" s="190" t="s">
        <v>401</v>
      </c>
      <c r="C219" s="189" t="s">
        <v>4</v>
      </c>
      <c r="D219" s="189"/>
      <c r="E219" s="189"/>
      <c r="F219" s="189"/>
      <c r="G219" s="178"/>
      <c r="H219" s="180"/>
      <c r="I219" s="180"/>
      <c r="J219" s="180"/>
      <c r="K219" s="303"/>
      <c r="L219" s="178"/>
      <c r="M219" s="178"/>
      <c r="N219" s="190">
        <v>9</v>
      </c>
      <c r="O219" s="190">
        <v>9</v>
      </c>
      <c r="P219" s="190">
        <v>11</v>
      </c>
      <c r="Q219" s="189"/>
      <c r="R219" s="265">
        <v>1</v>
      </c>
      <c r="S219" s="195">
        <f t="shared" si="12"/>
        <v>460.94234345939213</v>
      </c>
      <c r="T219" s="264"/>
      <c r="U219" s="259"/>
    </row>
    <row r="220" spans="1:21" hidden="1">
      <c r="A220" s="189">
        <v>20</v>
      </c>
      <c r="B220" s="190" t="s">
        <v>392</v>
      </c>
      <c r="C220" s="189" t="s">
        <v>204</v>
      </c>
      <c r="D220" s="189"/>
      <c r="E220" s="189"/>
      <c r="F220" s="189"/>
      <c r="G220" s="178"/>
      <c r="H220" s="180"/>
      <c r="I220" s="180"/>
      <c r="J220" s="180"/>
      <c r="K220" s="303"/>
      <c r="L220" s="178"/>
      <c r="M220" s="178"/>
      <c r="N220" s="190">
        <v>11</v>
      </c>
      <c r="O220" s="190">
        <v>14</v>
      </c>
      <c r="P220" s="190">
        <v>10</v>
      </c>
      <c r="Q220" s="189" t="s">
        <v>427</v>
      </c>
      <c r="R220" s="265">
        <v>4</v>
      </c>
      <c r="S220" s="195">
        <f>R220*$V$17</f>
        <v>1843.7693738375685</v>
      </c>
      <c r="T220" s="264"/>
      <c r="U220" s="259"/>
    </row>
    <row r="221" spans="1:21" hidden="1">
      <c r="A221" s="189">
        <v>21</v>
      </c>
      <c r="B221" s="190" t="s">
        <v>397</v>
      </c>
      <c r="C221" s="189" t="s">
        <v>4</v>
      </c>
      <c r="D221" s="189"/>
      <c r="E221" s="189"/>
      <c r="F221" s="189"/>
      <c r="G221" s="178"/>
      <c r="H221" s="180"/>
      <c r="I221" s="180"/>
      <c r="J221" s="180"/>
      <c r="K221" s="303"/>
      <c r="L221" s="178"/>
      <c r="M221" s="178"/>
      <c r="N221" s="190">
        <v>10</v>
      </c>
      <c r="O221" s="190">
        <v>11</v>
      </c>
      <c r="P221" s="190">
        <v>10</v>
      </c>
      <c r="Q221" s="189"/>
      <c r="R221" s="265">
        <v>1</v>
      </c>
      <c r="S221" s="195">
        <f>R221*$V$17</f>
        <v>460.94234345939213</v>
      </c>
      <c r="T221" s="264"/>
      <c r="U221" s="259"/>
    </row>
    <row r="222" spans="1:21" s="186" customFormat="1" hidden="1">
      <c r="A222" s="196">
        <v>11</v>
      </c>
      <c r="B222" s="197" t="s">
        <v>404</v>
      </c>
      <c r="C222" s="196"/>
      <c r="D222" s="196"/>
      <c r="E222" s="196"/>
      <c r="F222" s="196"/>
      <c r="G222" s="198"/>
      <c r="H222" s="200"/>
      <c r="I222" s="200"/>
      <c r="J222" s="200"/>
      <c r="K222" s="200"/>
      <c r="L222" s="198"/>
      <c r="M222" s="198"/>
      <c r="N222" s="197"/>
      <c r="O222" s="197"/>
      <c r="P222" s="197"/>
      <c r="Q222" s="196"/>
      <c r="R222" s="202"/>
      <c r="S222" s="192">
        <f>S223</f>
        <v>460.94234345939213</v>
      </c>
      <c r="T222" s="264">
        <v>1</v>
      </c>
      <c r="U222" s="183">
        <f>COUNTIF(R223:R223, "=1,0")</f>
        <v>1</v>
      </c>
    </row>
    <row r="223" spans="1:21" s="186" customFormat="1" ht="31.5" hidden="1">
      <c r="A223" s="189">
        <v>1</v>
      </c>
      <c r="B223" s="190" t="s">
        <v>405</v>
      </c>
      <c r="C223" s="189" t="s">
        <v>195</v>
      </c>
      <c r="D223" s="189" t="s">
        <v>427</v>
      </c>
      <c r="E223" s="189"/>
      <c r="F223" s="189"/>
      <c r="G223" s="178" t="s">
        <v>427</v>
      </c>
      <c r="H223" s="180"/>
      <c r="I223" s="180"/>
      <c r="J223" s="180"/>
      <c r="K223" s="303"/>
      <c r="L223" s="179"/>
      <c r="M223" s="179"/>
      <c r="N223" s="195">
        <v>19</v>
      </c>
      <c r="O223" s="195">
        <v>14</v>
      </c>
      <c r="P223" s="195">
        <v>18</v>
      </c>
      <c r="Q223" s="191"/>
      <c r="R223" s="265">
        <v>1</v>
      </c>
      <c r="S223" s="195">
        <f>R223*$V$17</f>
        <v>460.94234345939213</v>
      </c>
      <c r="T223" s="264">
        <v>1.3</v>
      </c>
      <c r="U223" s="183">
        <f>COUNTIF(R223:R223, "=1,3")</f>
        <v>0</v>
      </c>
    </row>
    <row r="224" spans="1:21" s="186" customFormat="1" hidden="1">
      <c r="A224" s="191">
        <v>12</v>
      </c>
      <c r="B224" s="192" t="s">
        <v>191</v>
      </c>
      <c r="C224" s="191"/>
      <c r="D224" s="191"/>
      <c r="E224" s="191"/>
      <c r="F224" s="191"/>
      <c r="G224" s="198"/>
      <c r="H224" s="200"/>
      <c r="I224" s="200"/>
      <c r="J224" s="200"/>
      <c r="K224" s="200"/>
      <c r="L224" s="198"/>
      <c r="M224" s="198"/>
      <c r="N224" s="197"/>
      <c r="O224" s="197"/>
      <c r="P224" s="197"/>
      <c r="Q224" s="196"/>
      <c r="R224" s="202"/>
      <c r="S224" s="192">
        <f>SUM(S225:S235)</f>
        <v>6591.4755114693071</v>
      </c>
      <c r="T224" s="264">
        <v>4</v>
      </c>
      <c r="U224" s="183">
        <f>COUNTIF(R223:R223, "=4,0")</f>
        <v>0</v>
      </c>
    </row>
    <row r="225" spans="1:21" hidden="1">
      <c r="A225" s="189">
        <v>1</v>
      </c>
      <c r="B225" s="190" t="s">
        <v>415</v>
      </c>
      <c r="C225" s="189" t="s">
        <v>195</v>
      </c>
      <c r="D225" s="189"/>
      <c r="E225" s="189"/>
      <c r="F225" s="189"/>
      <c r="G225" s="178"/>
      <c r="H225" s="182" t="s">
        <v>427</v>
      </c>
      <c r="I225" s="182" t="s">
        <v>427</v>
      </c>
      <c r="J225" s="182"/>
      <c r="K225" s="178"/>
      <c r="L225" s="178"/>
      <c r="M225" s="178"/>
      <c r="N225" s="190">
        <v>13</v>
      </c>
      <c r="O225" s="190">
        <v>10</v>
      </c>
      <c r="P225" s="190">
        <v>20</v>
      </c>
      <c r="Q225" s="189"/>
      <c r="R225" s="265">
        <v>1</v>
      </c>
      <c r="S225" s="195">
        <f>R225*$V$17</f>
        <v>460.94234345939213</v>
      </c>
      <c r="T225" s="264"/>
      <c r="U225" s="259"/>
    </row>
    <row r="226" spans="1:21" hidden="1">
      <c r="A226" s="189">
        <v>2</v>
      </c>
      <c r="B226" s="190" t="s">
        <v>406</v>
      </c>
      <c r="C226" s="189" t="s">
        <v>195</v>
      </c>
      <c r="D226" s="189"/>
      <c r="E226" s="189"/>
      <c r="F226" s="189" t="s">
        <v>427</v>
      </c>
      <c r="G226" s="178" t="s">
        <v>427</v>
      </c>
      <c r="H226" s="180"/>
      <c r="I226" s="180"/>
      <c r="J226" s="180"/>
      <c r="K226" s="303"/>
      <c r="L226" s="178"/>
      <c r="M226" s="178"/>
      <c r="N226" s="190">
        <v>18</v>
      </c>
      <c r="O226" s="190">
        <v>18</v>
      </c>
      <c r="P226" s="190">
        <v>19</v>
      </c>
      <c r="Q226" s="189"/>
      <c r="R226" s="265">
        <v>1</v>
      </c>
      <c r="S226" s="195">
        <f t="shared" ref="S226:S235" si="13">R226*$V$17</f>
        <v>460.94234345939213</v>
      </c>
      <c r="T226" s="264">
        <v>1</v>
      </c>
      <c r="U226" s="183">
        <f>COUNTIF(R225:R235, "=1,0")</f>
        <v>9</v>
      </c>
    </row>
    <row r="227" spans="1:21">
      <c r="A227" s="189">
        <v>3</v>
      </c>
      <c r="B227" s="190" t="s">
        <v>409</v>
      </c>
      <c r="C227" s="189" t="s">
        <v>507</v>
      </c>
      <c r="D227" s="189"/>
      <c r="E227" s="189"/>
      <c r="F227" s="189"/>
      <c r="G227" s="178"/>
      <c r="H227" s="178"/>
      <c r="I227" s="178"/>
      <c r="J227" s="178" t="s">
        <v>427</v>
      </c>
      <c r="K227" s="178"/>
      <c r="L227" s="178" t="s">
        <v>427</v>
      </c>
      <c r="M227" s="178"/>
      <c r="N227" s="190">
        <v>12</v>
      </c>
      <c r="O227" s="190">
        <v>16</v>
      </c>
      <c r="P227" s="190">
        <v>19</v>
      </c>
      <c r="Q227" s="189"/>
      <c r="R227" s="265">
        <v>1.3</v>
      </c>
      <c r="S227" s="195">
        <f>R227*$V$17</f>
        <v>599.22504649720975</v>
      </c>
      <c r="T227" s="264">
        <v>4</v>
      </c>
      <c r="U227" s="183">
        <f>COUNTIF(R225:R235, "=4,0")</f>
        <v>1</v>
      </c>
    </row>
    <row r="228" spans="1:21" ht="23.25" hidden="1" customHeight="1">
      <c r="A228" s="189">
        <v>4</v>
      </c>
      <c r="B228" s="190" t="s">
        <v>408</v>
      </c>
      <c r="C228" s="189" t="s">
        <v>195</v>
      </c>
      <c r="D228" s="189"/>
      <c r="E228" s="189"/>
      <c r="F228" s="189"/>
      <c r="G228" s="178" t="s">
        <v>427</v>
      </c>
      <c r="H228" s="178"/>
      <c r="I228" s="178"/>
      <c r="J228" s="178"/>
      <c r="K228" s="178"/>
      <c r="L228" s="178"/>
      <c r="M228" s="178"/>
      <c r="N228" s="190">
        <v>19</v>
      </c>
      <c r="O228" s="190">
        <v>17</v>
      </c>
      <c r="P228" s="190">
        <v>18</v>
      </c>
      <c r="Q228" s="189"/>
      <c r="R228" s="265">
        <v>1</v>
      </c>
      <c r="S228" s="195">
        <f>R228*$V$17</f>
        <v>460.94234345939213</v>
      </c>
      <c r="T228" s="264">
        <v>1.3</v>
      </c>
      <c r="U228" s="183">
        <f>COUNTIF(R225:R235, "=1,3")</f>
        <v>1</v>
      </c>
    </row>
    <row r="229" spans="1:21" hidden="1">
      <c r="A229" s="189">
        <v>5</v>
      </c>
      <c r="B229" s="190" t="s">
        <v>407</v>
      </c>
      <c r="C229" s="189" t="s">
        <v>195</v>
      </c>
      <c r="D229" s="189"/>
      <c r="E229" s="189"/>
      <c r="F229" s="189" t="s">
        <v>427</v>
      </c>
      <c r="G229" s="178" t="s">
        <v>427</v>
      </c>
      <c r="H229" s="178"/>
      <c r="I229" s="178"/>
      <c r="J229" s="178"/>
      <c r="K229" s="178"/>
      <c r="L229" s="178"/>
      <c r="M229" s="178"/>
      <c r="N229" s="190">
        <v>18</v>
      </c>
      <c r="O229" s="190">
        <v>18</v>
      </c>
      <c r="P229" s="190">
        <v>17</v>
      </c>
      <c r="Q229" s="189"/>
      <c r="R229" s="265">
        <v>1</v>
      </c>
      <c r="S229" s="195">
        <f t="shared" si="13"/>
        <v>460.94234345939213</v>
      </c>
    </row>
    <row r="230" spans="1:21" hidden="1">
      <c r="A230" s="189">
        <v>6</v>
      </c>
      <c r="B230" s="190" t="s">
        <v>414</v>
      </c>
      <c r="C230" s="189" t="s">
        <v>195</v>
      </c>
      <c r="D230" s="189"/>
      <c r="E230" s="189"/>
      <c r="F230" s="189"/>
      <c r="G230" s="178" t="s">
        <v>427</v>
      </c>
      <c r="H230" s="178"/>
      <c r="I230" s="178"/>
      <c r="J230" s="178"/>
      <c r="K230" s="178"/>
      <c r="L230" s="178"/>
      <c r="M230" s="178"/>
      <c r="N230" s="190">
        <v>18</v>
      </c>
      <c r="O230" s="190">
        <v>17</v>
      </c>
      <c r="P230" s="190">
        <v>17</v>
      </c>
      <c r="Q230" s="189"/>
      <c r="R230" s="265">
        <v>1</v>
      </c>
      <c r="S230" s="195">
        <f t="shared" si="13"/>
        <v>460.94234345939213</v>
      </c>
      <c r="T230" s="264"/>
      <c r="U230" s="259"/>
    </row>
    <row r="231" spans="1:21" hidden="1">
      <c r="A231" s="189">
        <v>7</v>
      </c>
      <c r="B231" s="190" t="s">
        <v>411</v>
      </c>
      <c r="C231" s="189" t="s">
        <v>195</v>
      </c>
      <c r="D231" s="189"/>
      <c r="E231" s="302" t="s">
        <v>427</v>
      </c>
      <c r="F231" s="189"/>
      <c r="G231" s="178" t="s">
        <v>427</v>
      </c>
      <c r="H231" s="178"/>
      <c r="I231" s="178"/>
      <c r="J231" s="178"/>
      <c r="K231" s="178"/>
      <c r="L231" s="178"/>
      <c r="M231" s="178"/>
      <c r="N231" s="190">
        <v>18</v>
      </c>
      <c r="O231" s="190">
        <v>16</v>
      </c>
      <c r="P231" s="190">
        <v>16</v>
      </c>
      <c r="Q231" s="189"/>
      <c r="R231" s="265">
        <v>1</v>
      </c>
      <c r="S231" s="195">
        <f t="shared" si="13"/>
        <v>460.94234345939213</v>
      </c>
      <c r="T231" s="264"/>
      <c r="U231" s="259"/>
    </row>
    <row r="232" spans="1:21" hidden="1">
      <c r="A232" s="189">
        <v>8</v>
      </c>
      <c r="B232" s="190" t="s">
        <v>410</v>
      </c>
      <c r="C232" s="189" t="s">
        <v>195</v>
      </c>
      <c r="D232" s="189"/>
      <c r="E232" s="189"/>
      <c r="F232" s="189"/>
      <c r="G232" s="178" t="s">
        <v>427</v>
      </c>
      <c r="H232" s="178"/>
      <c r="I232" s="178"/>
      <c r="J232" s="178"/>
      <c r="K232" s="178"/>
      <c r="L232" s="178"/>
      <c r="M232" s="178"/>
      <c r="N232" s="190">
        <v>18</v>
      </c>
      <c r="O232" s="190">
        <v>10</v>
      </c>
      <c r="P232" s="190">
        <v>16</v>
      </c>
      <c r="Q232" s="189"/>
      <c r="R232" s="265">
        <v>1</v>
      </c>
      <c r="S232" s="195">
        <f t="shared" si="13"/>
        <v>460.94234345939213</v>
      </c>
      <c r="T232" s="264"/>
      <c r="U232" s="259"/>
    </row>
    <row r="233" spans="1:21" hidden="1">
      <c r="A233" s="189">
        <v>9</v>
      </c>
      <c r="B233" s="190" t="s">
        <v>412</v>
      </c>
      <c r="C233" s="189" t="s">
        <v>4</v>
      </c>
      <c r="D233" s="189"/>
      <c r="E233" s="189"/>
      <c r="F233" s="189"/>
      <c r="G233" s="178"/>
      <c r="H233" s="178"/>
      <c r="I233" s="178"/>
      <c r="J233" s="178"/>
      <c r="K233" s="178"/>
      <c r="L233" s="178" t="s">
        <v>427</v>
      </c>
      <c r="M233" s="178"/>
      <c r="N233" s="190">
        <v>12</v>
      </c>
      <c r="O233" s="190">
        <v>7</v>
      </c>
      <c r="P233" s="190">
        <v>12</v>
      </c>
      <c r="Q233" s="189"/>
      <c r="R233" s="265">
        <v>1</v>
      </c>
      <c r="S233" s="195">
        <f>R233*$V$17</f>
        <v>460.94234345939213</v>
      </c>
      <c r="T233" s="264"/>
      <c r="U233" s="259"/>
    </row>
    <row r="234" spans="1:21" hidden="1">
      <c r="A234" s="189">
        <v>10</v>
      </c>
      <c r="B234" s="190" t="s">
        <v>416</v>
      </c>
      <c r="C234" s="189" t="s">
        <v>4</v>
      </c>
      <c r="D234" s="189"/>
      <c r="E234" s="189"/>
      <c r="F234" s="189"/>
      <c r="G234" s="178"/>
      <c r="H234" s="178"/>
      <c r="I234" s="178"/>
      <c r="J234" s="178"/>
      <c r="K234" s="178"/>
      <c r="L234" s="178"/>
      <c r="M234" s="178" t="s">
        <v>427</v>
      </c>
      <c r="N234" s="190">
        <v>11</v>
      </c>
      <c r="O234" s="190">
        <v>9</v>
      </c>
      <c r="P234" s="190">
        <v>11</v>
      </c>
      <c r="Q234" s="189"/>
      <c r="R234" s="265">
        <v>1</v>
      </c>
      <c r="S234" s="195">
        <f t="shared" si="13"/>
        <v>460.94234345939213</v>
      </c>
      <c r="T234" s="264"/>
      <c r="U234" s="259"/>
    </row>
    <row r="235" spans="1:21" hidden="1">
      <c r="A235" s="189">
        <v>11</v>
      </c>
      <c r="B235" s="190" t="s">
        <v>413</v>
      </c>
      <c r="C235" s="189" t="s">
        <v>204</v>
      </c>
      <c r="D235" s="189"/>
      <c r="E235" s="189"/>
      <c r="F235" s="189"/>
      <c r="G235" s="178"/>
      <c r="H235" s="178"/>
      <c r="I235" s="178"/>
      <c r="J235" s="178"/>
      <c r="K235" s="178" t="s">
        <v>427</v>
      </c>
      <c r="L235" s="178"/>
      <c r="M235" s="178"/>
      <c r="N235" s="190">
        <v>12</v>
      </c>
      <c r="O235" s="190">
        <v>8</v>
      </c>
      <c r="P235" s="190">
        <v>10</v>
      </c>
      <c r="Q235" s="189" t="s">
        <v>427</v>
      </c>
      <c r="R235" s="265">
        <v>4</v>
      </c>
      <c r="S235" s="195">
        <f t="shared" si="13"/>
        <v>1843.7693738375685</v>
      </c>
      <c r="T235" s="264"/>
      <c r="U235" s="259"/>
    </row>
    <row r="236" spans="1:21" s="186" customFormat="1" hidden="1">
      <c r="A236" s="191">
        <v>13</v>
      </c>
      <c r="B236" s="192" t="s">
        <v>192</v>
      </c>
      <c r="C236" s="191"/>
      <c r="D236" s="191"/>
      <c r="E236" s="191"/>
      <c r="F236" s="191"/>
      <c r="G236" s="198"/>
      <c r="H236" s="198"/>
      <c r="I236" s="198"/>
      <c r="J236" s="198"/>
      <c r="K236" s="198"/>
      <c r="L236" s="198"/>
      <c r="M236" s="198"/>
      <c r="N236" s="197"/>
      <c r="O236" s="197"/>
      <c r="P236" s="197"/>
      <c r="Q236" s="196"/>
      <c r="R236" s="202"/>
      <c r="S236" s="192">
        <f>SUM(S237:S249)</f>
        <v>10140.731556106626</v>
      </c>
      <c r="T236" s="263" t="s">
        <v>483</v>
      </c>
      <c r="U236" s="260" t="s">
        <v>482</v>
      </c>
    </row>
    <row r="237" spans="1:21" hidden="1">
      <c r="A237" s="189">
        <v>1</v>
      </c>
      <c r="B237" s="190" t="s">
        <v>0</v>
      </c>
      <c r="C237" s="189" t="s">
        <v>195</v>
      </c>
      <c r="D237" s="189"/>
      <c r="E237" s="189"/>
      <c r="F237" s="189"/>
      <c r="G237" s="178"/>
      <c r="H237" s="182" t="s">
        <v>427</v>
      </c>
      <c r="I237" s="182" t="s">
        <v>427</v>
      </c>
      <c r="J237" s="182"/>
      <c r="K237" s="178"/>
      <c r="L237" s="178"/>
      <c r="M237" s="178"/>
      <c r="N237" s="190">
        <v>12</v>
      </c>
      <c r="O237" s="190">
        <v>12</v>
      </c>
      <c r="P237" s="190">
        <v>20</v>
      </c>
      <c r="Q237" s="189"/>
      <c r="R237" s="265">
        <v>1</v>
      </c>
      <c r="S237" s="195">
        <f>R237*$V$17</f>
        <v>460.94234345939213</v>
      </c>
      <c r="T237" s="264"/>
      <c r="U237" s="259"/>
    </row>
    <row r="238" spans="1:21" hidden="1">
      <c r="A238" s="189">
        <v>2</v>
      </c>
      <c r="B238" s="190" t="s">
        <v>417</v>
      </c>
      <c r="C238" s="189" t="s">
        <v>195</v>
      </c>
      <c r="D238" s="189"/>
      <c r="E238" s="189"/>
      <c r="F238" s="189" t="s">
        <v>427</v>
      </c>
      <c r="G238" s="178" t="s">
        <v>427</v>
      </c>
      <c r="H238" s="178"/>
      <c r="I238" s="178"/>
      <c r="J238" s="178"/>
      <c r="K238" s="178"/>
      <c r="L238" s="178"/>
      <c r="M238" s="178"/>
      <c r="N238" s="190">
        <v>19</v>
      </c>
      <c r="O238" s="190">
        <v>18</v>
      </c>
      <c r="P238" s="190">
        <v>17</v>
      </c>
      <c r="Q238" s="189"/>
      <c r="R238" s="265">
        <v>1</v>
      </c>
      <c r="S238" s="195">
        <f t="shared" ref="S238:S249" si="14">R238*$V$17</f>
        <v>460.94234345939213</v>
      </c>
      <c r="T238" s="264">
        <v>1.3</v>
      </c>
      <c r="U238" s="183">
        <f>COUNTIF(R237:R249, "=1,3")</f>
        <v>0</v>
      </c>
    </row>
    <row r="239" spans="1:21" hidden="1">
      <c r="A239" s="189">
        <v>3</v>
      </c>
      <c r="B239" s="190" t="s">
        <v>419</v>
      </c>
      <c r="C239" s="189" t="s">
        <v>195</v>
      </c>
      <c r="D239" s="189"/>
      <c r="E239" s="189"/>
      <c r="F239" s="189"/>
      <c r="G239" s="178" t="s">
        <v>427</v>
      </c>
      <c r="H239" s="178"/>
      <c r="I239" s="178"/>
      <c r="J239" s="178"/>
      <c r="K239" s="178"/>
      <c r="L239" s="178"/>
      <c r="M239" s="178"/>
      <c r="N239" s="190">
        <v>19</v>
      </c>
      <c r="O239" s="190">
        <v>17</v>
      </c>
      <c r="P239" s="190">
        <v>17</v>
      </c>
      <c r="Q239" s="189"/>
      <c r="R239" s="265">
        <v>1</v>
      </c>
      <c r="S239" s="195">
        <f t="shared" si="14"/>
        <v>460.94234345939213</v>
      </c>
      <c r="T239" s="264">
        <v>4</v>
      </c>
      <c r="U239" s="183">
        <f>COUNTIF(R237:R249, "=4,0")</f>
        <v>3</v>
      </c>
    </row>
    <row r="240" spans="1:21" hidden="1">
      <c r="A240" s="189">
        <v>4</v>
      </c>
      <c r="B240" s="190" t="s">
        <v>425</v>
      </c>
      <c r="C240" s="189" t="s">
        <v>195</v>
      </c>
      <c r="D240" s="189" t="s">
        <v>427</v>
      </c>
      <c r="E240" s="189"/>
      <c r="F240" s="189"/>
      <c r="G240" s="178" t="s">
        <v>427</v>
      </c>
      <c r="H240" s="178"/>
      <c r="I240" s="178"/>
      <c r="J240" s="178"/>
      <c r="K240" s="178"/>
      <c r="L240" s="178"/>
      <c r="M240" s="178"/>
      <c r="N240" s="190">
        <v>18</v>
      </c>
      <c r="O240" s="190">
        <v>18</v>
      </c>
      <c r="P240" s="190">
        <v>16</v>
      </c>
      <c r="Q240" s="189"/>
      <c r="R240" s="265">
        <v>1</v>
      </c>
      <c r="S240" s="195">
        <f>R240*$V$17</f>
        <v>460.94234345939213</v>
      </c>
      <c r="T240" s="264">
        <v>1</v>
      </c>
      <c r="U240" s="183">
        <f>COUNTIF(R237:R249, "=1,0")</f>
        <v>10</v>
      </c>
    </row>
    <row r="241" spans="1:21" hidden="1">
      <c r="A241" s="189">
        <v>5</v>
      </c>
      <c r="B241" s="190" t="s">
        <v>420</v>
      </c>
      <c r="C241" s="189" t="s">
        <v>195</v>
      </c>
      <c r="D241" s="189"/>
      <c r="E241" s="302" t="s">
        <v>427</v>
      </c>
      <c r="F241" s="189"/>
      <c r="G241" s="178" t="s">
        <v>427</v>
      </c>
      <c r="H241" s="178"/>
      <c r="I241" s="178"/>
      <c r="J241" s="178"/>
      <c r="K241" s="178"/>
      <c r="L241" s="178"/>
      <c r="M241" s="178"/>
      <c r="N241" s="190">
        <v>18</v>
      </c>
      <c r="O241" s="190">
        <v>15</v>
      </c>
      <c r="P241" s="190">
        <v>16</v>
      </c>
      <c r="Q241" s="189"/>
      <c r="R241" s="265">
        <v>1</v>
      </c>
      <c r="S241" s="195">
        <f t="shared" si="14"/>
        <v>460.94234345939213</v>
      </c>
      <c r="T241" s="264"/>
      <c r="U241" s="259"/>
    </row>
    <row r="242" spans="1:21" hidden="1">
      <c r="A242" s="189">
        <v>6</v>
      </c>
      <c r="B242" s="190" t="s">
        <v>2</v>
      </c>
      <c r="C242" s="189" t="s">
        <v>4</v>
      </c>
      <c r="D242" s="189"/>
      <c r="E242" s="189"/>
      <c r="F242" s="189"/>
      <c r="G242" s="178"/>
      <c r="H242" s="178"/>
      <c r="I242" s="178"/>
      <c r="J242" s="178"/>
      <c r="K242" s="178"/>
      <c r="L242" s="178"/>
      <c r="M242" s="178"/>
      <c r="N242" s="190">
        <v>11</v>
      </c>
      <c r="O242" s="190">
        <v>9</v>
      </c>
      <c r="P242" s="190">
        <v>13</v>
      </c>
      <c r="Q242" s="189"/>
      <c r="R242" s="265">
        <v>1</v>
      </c>
      <c r="S242" s="195">
        <f>R242*$V$17</f>
        <v>460.94234345939213</v>
      </c>
      <c r="T242" s="264"/>
      <c r="U242" s="259"/>
    </row>
    <row r="243" spans="1:21" hidden="1">
      <c r="A243" s="189">
        <v>7</v>
      </c>
      <c r="B243" s="190" t="s">
        <v>422</v>
      </c>
      <c r="C243" s="189" t="s">
        <v>4</v>
      </c>
      <c r="D243" s="189"/>
      <c r="E243" s="189"/>
      <c r="F243" s="189"/>
      <c r="G243" s="178"/>
      <c r="H243" s="178"/>
      <c r="I243" s="178"/>
      <c r="J243" s="178"/>
      <c r="K243" s="178"/>
      <c r="L243" s="178"/>
      <c r="M243" s="178"/>
      <c r="N243" s="190">
        <v>11</v>
      </c>
      <c r="O243" s="190">
        <v>9</v>
      </c>
      <c r="P243" s="190">
        <v>12</v>
      </c>
      <c r="Q243" s="189"/>
      <c r="R243" s="265">
        <v>1</v>
      </c>
      <c r="S243" s="195">
        <f t="shared" si="14"/>
        <v>460.94234345939213</v>
      </c>
      <c r="T243" s="264"/>
      <c r="U243" s="259"/>
    </row>
    <row r="244" spans="1:21" hidden="1">
      <c r="A244" s="189">
        <v>8</v>
      </c>
      <c r="B244" s="190" t="s">
        <v>421</v>
      </c>
      <c r="C244" s="189" t="s">
        <v>204</v>
      </c>
      <c r="D244" s="189"/>
      <c r="E244" s="189"/>
      <c r="F244" s="189"/>
      <c r="G244" s="178"/>
      <c r="H244" s="178"/>
      <c r="I244" s="178"/>
      <c r="J244" s="178"/>
      <c r="K244" s="178"/>
      <c r="L244" s="178"/>
      <c r="M244" s="178"/>
      <c r="N244" s="190">
        <v>11</v>
      </c>
      <c r="O244" s="190">
        <v>8</v>
      </c>
      <c r="P244" s="190">
        <v>12</v>
      </c>
      <c r="Q244" s="189" t="s">
        <v>427</v>
      </c>
      <c r="R244" s="265">
        <v>4</v>
      </c>
      <c r="S244" s="195">
        <f>R244*$V$17</f>
        <v>1843.7693738375685</v>
      </c>
      <c r="T244" s="264"/>
      <c r="U244" s="259"/>
    </row>
    <row r="245" spans="1:21" hidden="1">
      <c r="A245" s="189">
        <v>9</v>
      </c>
      <c r="B245" s="190" t="s">
        <v>424</v>
      </c>
      <c r="C245" s="189" t="s">
        <v>204</v>
      </c>
      <c r="D245" s="189"/>
      <c r="E245" s="189"/>
      <c r="F245" s="189"/>
      <c r="G245" s="178"/>
      <c r="H245" s="178"/>
      <c r="I245" s="178"/>
      <c r="J245" s="178"/>
      <c r="K245" s="178"/>
      <c r="L245" s="178"/>
      <c r="M245" s="178"/>
      <c r="N245" s="190">
        <v>11</v>
      </c>
      <c r="O245" s="190">
        <v>9</v>
      </c>
      <c r="P245" s="190">
        <v>11</v>
      </c>
      <c r="Q245" s="189" t="s">
        <v>427</v>
      </c>
      <c r="R245" s="265">
        <v>4</v>
      </c>
      <c r="S245" s="195">
        <f>R245*$V$17</f>
        <v>1843.7693738375685</v>
      </c>
      <c r="T245" s="264"/>
      <c r="U245" s="259"/>
    </row>
    <row r="246" spans="1:21" hidden="1">
      <c r="A246" s="189">
        <v>10</v>
      </c>
      <c r="B246" s="190" t="s">
        <v>418</v>
      </c>
      <c r="C246" s="189" t="s">
        <v>204</v>
      </c>
      <c r="D246" s="189"/>
      <c r="E246" s="189"/>
      <c r="F246" s="189"/>
      <c r="G246" s="178"/>
      <c r="H246" s="178"/>
      <c r="I246" s="178"/>
      <c r="J246" s="178" t="s">
        <v>427</v>
      </c>
      <c r="K246" s="178" t="s">
        <v>427</v>
      </c>
      <c r="L246" s="178"/>
      <c r="M246" s="178"/>
      <c r="N246" s="190">
        <v>10</v>
      </c>
      <c r="O246" s="190">
        <v>10</v>
      </c>
      <c r="P246" s="190">
        <v>11</v>
      </c>
      <c r="Q246" s="189" t="s">
        <v>427</v>
      </c>
      <c r="R246" s="265">
        <v>4</v>
      </c>
      <c r="S246" s="195">
        <f>R246*$V$17</f>
        <v>1843.7693738375685</v>
      </c>
      <c r="T246" s="183"/>
    </row>
    <row r="247" spans="1:21" hidden="1">
      <c r="A247" s="189">
        <v>11</v>
      </c>
      <c r="B247" s="190" t="s">
        <v>423</v>
      </c>
      <c r="C247" s="189" t="s">
        <v>4</v>
      </c>
      <c r="D247" s="189"/>
      <c r="E247" s="189"/>
      <c r="F247" s="189"/>
      <c r="G247" s="178"/>
      <c r="H247" s="178"/>
      <c r="I247" s="178"/>
      <c r="J247" s="178"/>
      <c r="K247" s="178"/>
      <c r="L247" s="178"/>
      <c r="M247" s="178"/>
      <c r="N247" s="190">
        <v>10</v>
      </c>
      <c r="O247" s="190">
        <v>7</v>
      </c>
      <c r="P247" s="190">
        <v>11</v>
      </c>
      <c r="Q247" s="189"/>
      <c r="R247" s="265">
        <v>1</v>
      </c>
      <c r="S247" s="195">
        <f>R247*$V$17</f>
        <v>460.94234345939213</v>
      </c>
      <c r="T247" s="264"/>
      <c r="U247" s="259"/>
    </row>
    <row r="248" spans="1:21" hidden="1">
      <c r="A248" s="189">
        <v>12</v>
      </c>
      <c r="B248" s="190" t="s">
        <v>426</v>
      </c>
      <c r="C248" s="189" t="s">
        <v>4</v>
      </c>
      <c r="D248" s="189"/>
      <c r="E248" s="189"/>
      <c r="F248" s="189"/>
      <c r="G248" s="178"/>
      <c r="H248" s="178"/>
      <c r="I248" s="178"/>
      <c r="J248" s="178"/>
      <c r="K248" s="178"/>
      <c r="L248" s="178"/>
      <c r="M248" s="178"/>
      <c r="N248" s="190">
        <v>10</v>
      </c>
      <c r="O248" s="190">
        <v>9</v>
      </c>
      <c r="P248" s="190">
        <v>10</v>
      </c>
      <c r="Q248" s="189"/>
      <c r="R248" s="265">
        <v>1</v>
      </c>
      <c r="S248" s="195">
        <f t="shared" si="14"/>
        <v>460.94234345939213</v>
      </c>
      <c r="T248" s="264"/>
      <c r="U248" s="259"/>
    </row>
    <row r="249" spans="1:21" hidden="1">
      <c r="A249" s="193">
        <v>13</v>
      </c>
      <c r="B249" s="194" t="s">
        <v>1</v>
      </c>
      <c r="C249" s="193" t="s">
        <v>4</v>
      </c>
      <c r="D249" s="193"/>
      <c r="E249" s="193"/>
      <c r="F249" s="193"/>
      <c r="G249" s="209"/>
      <c r="H249" s="209"/>
      <c r="I249" s="209"/>
      <c r="J249" s="209"/>
      <c r="K249" s="209"/>
      <c r="L249" s="209"/>
      <c r="M249" s="209"/>
      <c r="N249" s="194">
        <v>9</v>
      </c>
      <c r="O249" s="194">
        <v>8</v>
      </c>
      <c r="P249" s="194">
        <v>10</v>
      </c>
      <c r="Q249" s="193"/>
      <c r="R249" s="266">
        <v>1</v>
      </c>
      <c r="S249" s="278">
        <f t="shared" si="14"/>
        <v>460.94234345939213</v>
      </c>
      <c r="T249" s="264"/>
      <c r="U249" s="259"/>
    </row>
    <row r="250" spans="1:21" hidden="1">
      <c r="A250" s="283"/>
      <c r="B250" s="284"/>
      <c r="C250" s="305"/>
      <c r="D250" s="283"/>
      <c r="E250" s="283"/>
      <c r="F250" s="283"/>
      <c r="G250" s="285"/>
      <c r="H250" s="285"/>
      <c r="I250" s="285"/>
      <c r="J250" s="285"/>
      <c r="K250" s="285"/>
      <c r="L250" s="285"/>
      <c r="M250" s="285"/>
      <c r="N250" s="284"/>
      <c r="O250" s="284"/>
      <c r="P250" s="284"/>
      <c r="Q250" s="283"/>
      <c r="R250" s="286"/>
      <c r="S250" s="259"/>
      <c r="T250" s="264"/>
      <c r="U250" s="259"/>
    </row>
    <row r="251" spans="1:21" ht="19.5" hidden="1" customHeight="1">
      <c r="A251" s="183"/>
      <c r="I251" s="186"/>
      <c r="J251" s="186"/>
      <c r="K251" s="186"/>
      <c r="L251" s="186"/>
      <c r="M251" s="186"/>
      <c r="N251" s="186"/>
      <c r="O251" s="186"/>
      <c r="P251" s="186"/>
      <c r="T251" s="264">
        <v>1</v>
      </c>
      <c r="U251" s="183">
        <f>U240+U226+U222+U203+U171+U152+U126+U101+U71+U64+U37+U30+U12</f>
        <v>169</v>
      </c>
    </row>
    <row r="252" spans="1:21" ht="21" hidden="1" customHeight="1">
      <c r="A252" s="183" t="s">
        <v>3</v>
      </c>
      <c r="B252" s="203"/>
      <c r="C252" s="189" t="s">
        <v>204</v>
      </c>
      <c r="G252" s="287">
        <f>COUNTIF(C8:C249, "Xã ĐB khó khăn")</f>
        <v>28</v>
      </c>
      <c r="H252" s="288">
        <v>4</v>
      </c>
      <c r="T252" s="264">
        <v>1.3</v>
      </c>
      <c r="U252" s="183">
        <f>U238+U228+U223+U201+U172+U153+U125+U102+U72+U63+U38+U32+U14</f>
        <v>32</v>
      </c>
    </row>
    <row r="253" spans="1:21" hidden="1">
      <c r="C253" s="189" t="s">
        <v>507</v>
      </c>
      <c r="G253" s="287">
        <f>COUNTIF(C8:C249, "Xã đăng ký đạt chuẩn 2018")</f>
        <v>16</v>
      </c>
      <c r="H253" s="288">
        <v>1.3</v>
      </c>
      <c r="T253" s="264">
        <v>4</v>
      </c>
      <c r="U253" s="183">
        <f>U239+U227+U224+U202+U170+U154+U124+U103+U70+U65+U39+U33+U15</f>
        <v>28</v>
      </c>
    </row>
    <row r="254" spans="1:21" ht="22.5" hidden="1" customHeight="1">
      <c r="B254" s="183">
        <f>A28+A35+A61+A68+A99+A122+A150+A168+A199+A221+A223+A235+A249</f>
        <v>229</v>
      </c>
      <c r="C254" s="189" t="s">
        <v>197</v>
      </c>
      <c r="D254" s="294"/>
      <c r="E254" s="294"/>
      <c r="F254" s="294"/>
      <c r="G254" s="287">
        <f>COUNTIF(C8:C249, "Xã đạt từ 15 tiêu chí trở lên")</f>
        <v>3</v>
      </c>
      <c r="H254" s="288">
        <v>1.3</v>
      </c>
      <c r="K254" s="183">
        <f>COUNTA(K7:K249)</f>
        <v>17</v>
      </c>
      <c r="U254" s="183">
        <f>SUM(U251:U253)</f>
        <v>229</v>
      </c>
    </row>
    <row r="255" spans="1:21" hidden="1">
      <c r="B255" s="184"/>
      <c r="C255" s="184" t="s">
        <v>505</v>
      </c>
      <c r="D255" s="184"/>
      <c r="E255" s="184"/>
      <c r="F255" s="184"/>
      <c r="G255" s="287">
        <f>COUNTIF(C8:C249, "đạt chuẩn 2017, cấp bù")</f>
        <v>13</v>
      </c>
      <c r="H255" s="288">
        <v>1.3</v>
      </c>
      <c r="I255" s="184"/>
      <c r="J255" s="184"/>
      <c r="K255" s="184"/>
      <c r="L255" s="184"/>
      <c r="M255" s="184"/>
      <c r="N255" s="184"/>
      <c r="O255" s="184"/>
      <c r="P255" s="184"/>
      <c r="Q255" s="184"/>
      <c r="R255" s="184"/>
      <c r="S255" s="184"/>
    </row>
    <row r="256" spans="1:21" hidden="1">
      <c r="B256" s="184"/>
      <c r="C256" s="189" t="s">
        <v>195</v>
      </c>
      <c r="D256" s="294">
        <f>COUNTA(D12:D249)</f>
        <v>7</v>
      </c>
      <c r="E256" s="294">
        <f>COUNTA(E12:E249)</f>
        <v>18</v>
      </c>
      <c r="F256" s="294">
        <f>COUNTA(F12:F249)</f>
        <v>26</v>
      </c>
      <c r="G256" s="287">
        <f>COUNTIF(C8:C249, "Xã đã đạt chuẩn")</f>
        <v>101</v>
      </c>
      <c r="H256" s="288">
        <v>1</v>
      </c>
      <c r="I256" s="184"/>
      <c r="J256" s="184"/>
      <c r="K256" s="184"/>
      <c r="L256" s="184"/>
      <c r="M256" s="184"/>
      <c r="N256" s="184"/>
      <c r="O256" s="184"/>
      <c r="P256" s="184"/>
      <c r="Q256" s="184"/>
      <c r="R256" s="184"/>
      <c r="S256" s="184"/>
    </row>
    <row r="257" spans="2:19" hidden="1">
      <c r="B257" s="184"/>
      <c r="C257" s="189" t="s">
        <v>4</v>
      </c>
      <c r="D257" s="184"/>
      <c r="E257" s="184"/>
      <c r="F257" s="184"/>
      <c r="G257" s="287">
        <f>COUNTIF(C8:C249, "Xã còn lại")</f>
        <v>68</v>
      </c>
      <c r="H257" s="288">
        <v>1</v>
      </c>
      <c r="I257" s="184">
        <f>COUNTA(C7:C249)</f>
        <v>230</v>
      </c>
      <c r="J257" s="184"/>
      <c r="K257" s="184"/>
      <c r="L257" s="184"/>
      <c r="M257" s="184"/>
      <c r="N257" s="184"/>
      <c r="O257" s="184"/>
      <c r="P257" s="184"/>
      <c r="Q257" s="184"/>
      <c r="R257" s="184"/>
      <c r="S257" s="184"/>
    </row>
    <row r="258" spans="2:19">
      <c r="B258" s="184"/>
      <c r="C258" s="184"/>
      <c r="D258" s="184"/>
      <c r="E258" s="184"/>
      <c r="F258" s="184"/>
      <c r="G258" s="184"/>
      <c r="H258" s="184"/>
      <c r="I258" s="184"/>
      <c r="J258" s="184"/>
      <c r="K258" s="184"/>
      <c r="L258" s="184"/>
      <c r="M258" s="184"/>
      <c r="N258" s="184"/>
      <c r="O258" s="184"/>
      <c r="P258" s="184"/>
      <c r="Q258" s="184"/>
      <c r="R258" s="184"/>
      <c r="S258" s="184"/>
    </row>
    <row r="259" spans="2:19">
      <c r="B259" s="184"/>
      <c r="C259" s="184"/>
      <c r="D259" s="184"/>
      <c r="E259" s="184"/>
      <c r="F259" s="184"/>
      <c r="G259" s="184">
        <f>SUM(G252:G257)</f>
        <v>229</v>
      </c>
      <c r="H259" s="184"/>
      <c r="I259" s="184"/>
      <c r="J259" s="184"/>
      <c r="K259" s="184"/>
      <c r="L259" s="184"/>
      <c r="M259" s="184"/>
      <c r="N259" s="184"/>
      <c r="O259" s="184"/>
      <c r="P259" s="184"/>
      <c r="Q259" s="184"/>
      <c r="R259" s="184"/>
      <c r="S259" s="184"/>
    </row>
  </sheetData>
  <autoFilter ref="A4:V257">
    <filterColumn colId="17">
      <filters>
        <filter val="1,3"/>
      </filters>
    </filterColumn>
  </autoFilter>
  <mergeCells count="18">
    <mergeCell ref="A1:C1"/>
    <mergeCell ref="A4:A5"/>
    <mergeCell ref="S4:S5"/>
    <mergeCell ref="N4:N5"/>
    <mergeCell ref="Q4:Q5"/>
    <mergeCell ref="O4:O5"/>
    <mergeCell ref="B4:B5"/>
    <mergeCell ref="C4:C5"/>
    <mergeCell ref="G4:G5"/>
    <mergeCell ref="H4:H5"/>
    <mergeCell ref="K4:K5"/>
    <mergeCell ref="L4:L5"/>
    <mergeCell ref="M4:M5"/>
    <mergeCell ref="R4:R5"/>
    <mergeCell ref="P4:P5"/>
    <mergeCell ref="I4:I5"/>
    <mergeCell ref="J4:J5"/>
    <mergeCell ref="A2:S2"/>
  </mergeCells>
  <phoneticPr fontId="0" type="noConversion"/>
  <printOptions horizontalCentered="1"/>
  <pageMargins left="0" right="0" top="0.35" bottom="0.25" header="0.25" footer="0.11811023622047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Dinh muc xa</vt:lpstr>
      <vt:lpstr>PB 03(Chi tiết đài báo) </vt:lpstr>
      <vt:lpstr>dự toán 2015 (c Binh)</vt:lpstr>
      <vt:lpstr>Tap huan (VPDP)</vt:lpstr>
      <vt:lpstr>PL1.Tong hop</vt:lpstr>
      <vt:lpstr>PL 2. Nuoc sach VSMT</vt:lpstr>
      <vt:lpstr>PL3.KH chi tiet cac xa</vt:lpstr>
      <vt:lpstr>PL4.Su nghiep huyen</vt:lpstr>
      <vt:lpstr>PL4.CHI TIET XA </vt:lpstr>
      <vt:lpstr>'PL 2. Nuoc sach VSMT'!Print_Area</vt:lpstr>
      <vt:lpstr>'PL1.Tong hop'!Print_Area</vt:lpstr>
      <vt:lpstr>'PL3.KH chi tiet cac xa'!Print_Area</vt:lpstr>
      <vt:lpstr>'PL4.CHI TIET XA '!Print_Area</vt:lpstr>
      <vt:lpstr>'PL4.Su nghiep huyen'!Print_Area</vt:lpstr>
      <vt:lpstr>'dự toán 2015 (c Binh)'!Print_Titles</vt:lpstr>
      <vt:lpstr>'PB 03(Chi tiết đài báo) '!Print_Titles</vt:lpstr>
      <vt:lpstr>'PL 2. Nuoc sach VSMT'!Print_Titles</vt:lpstr>
      <vt:lpstr>'PL1.Tong hop'!Print_Titles</vt:lpstr>
      <vt:lpstr>'PL4.CHI TIET XA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Tam</dc:creator>
  <cp:lastModifiedBy>User</cp:lastModifiedBy>
  <cp:lastPrinted>2018-03-02T08:49:24Z</cp:lastPrinted>
  <dcterms:created xsi:type="dcterms:W3CDTF">2013-11-05T07:31:44Z</dcterms:created>
  <dcterms:modified xsi:type="dcterms:W3CDTF">2018-03-07T10:02:22Z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7039d4003d06432399da44676d21fe9e.psdsxs" Id="Rc5a0667d885a481c" /></Relationships>
</file>