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anxuan\Desktop\"/>
    </mc:Choice>
  </mc:AlternateContent>
  <bookViews>
    <workbookView xWindow="0" yWindow="240" windowWidth="19430" windowHeight="9500" tabRatio="1000"/>
  </bookViews>
  <sheets>
    <sheet name=" (XÃ) Hà Linh" sheetId="2" r:id="rId1"/>
    <sheet name="(THÔN) Hà Linh" sheetId="1" r:id="rId2"/>
    <sheet name="(XÃ) HƯƠNG LIÊN" sheetId="6" r:id="rId3"/>
    <sheet name="(THÔN) HƯƠNG LIÊN" sheetId="7" r:id="rId4"/>
    <sheet name="(XÃ) HƯƠNG LÂM" sheetId="8" r:id="rId5"/>
    <sheet name="(THÔN) HƯƠNG LÂM" sheetId="9" r:id="rId6"/>
    <sheet name="(XÃ) ĐIỀN MỸ" sheetId="12" r:id="rId7"/>
    <sheet name="(THÔN) ĐIỀN MỸ" sheetId="13" r:id="rId8"/>
    <sheet name="(THÔN) HƯƠNG THỦY" sheetId="4" r:id="rId9"/>
    <sheet name="(THÔN) HÒA HẢI" sheetId="11" r:id="rId10"/>
    <sheet name="(THÔN)HƯƠNG BÌNH" sheetId="5" r:id="rId11"/>
    <sheet name="(THÔN) PHÚC ĐỒNG" sheetId="14" r:id="rId12"/>
  </sheets>
  <definedNames>
    <definedName name="_xlnm._FilterDatabase" localSheetId="1" hidden="1">'(THÔN) Hà Linh'!$A$1:$E$515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2" l="1"/>
  <c r="K22" i="12"/>
  <c r="D20" i="12"/>
  <c r="J19" i="12"/>
  <c r="K19" i="12" s="1"/>
  <c r="K20" i="12" s="1"/>
  <c r="L12" i="8"/>
  <c r="E21" i="5" l="1"/>
  <c r="E45" i="11"/>
  <c r="E57" i="4"/>
  <c r="E23" i="4"/>
  <c r="E59" i="4"/>
  <c r="E55" i="4"/>
  <c r="E54" i="4" s="1"/>
  <c r="E50" i="4"/>
  <c r="E48" i="4"/>
  <c r="E44" i="4"/>
  <c r="E42" i="4" s="1"/>
  <c r="E39" i="4"/>
  <c r="E37" i="4"/>
  <c r="E35" i="4"/>
  <c r="E31" i="4"/>
  <c r="E30" i="4"/>
  <c r="E27" i="4"/>
  <c r="E21" i="4"/>
  <c r="E20" i="4" s="1"/>
  <c r="E16" i="4"/>
  <c r="E13" i="4"/>
  <c r="E9" i="4"/>
  <c r="E7" i="4" s="1"/>
  <c r="E64" i="4"/>
  <c r="E62" i="4" s="1"/>
  <c r="E68" i="4"/>
  <c r="E72" i="4"/>
  <c r="E77" i="4"/>
  <c r="E29" i="4" l="1"/>
  <c r="E6" i="4"/>
  <c r="E41" i="4"/>
  <c r="D15" i="8"/>
  <c r="D14" i="8"/>
  <c r="D24" i="6"/>
  <c r="D32" i="2"/>
  <c r="D28" i="2" s="1"/>
  <c r="D15" i="6" l="1"/>
  <c r="E55" i="11" l="1"/>
  <c r="E52" i="7"/>
  <c r="E53" i="14"/>
  <c r="E50" i="14"/>
  <c r="E48" i="14"/>
  <c r="E47" i="14"/>
  <c r="E46" i="14" s="1"/>
  <c r="E44" i="14"/>
  <c r="G43" i="14"/>
  <c r="E41" i="14"/>
  <c r="E38" i="14"/>
  <c r="E36" i="14"/>
  <c r="E35" i="14"/>
  <c r="E34" i="14" s="1"/>
  <c r="E32" i="14"/>
  <c r="G31" i="14"/>
  <c r="E29" i="14"/>
  <c r="E25" i="14"/>
  <c r="E23" i="14"/>
  <c r="E22" i="14"/>
  <c r="F22" i="14" s="1"/>
  <c r="H22" i="14" s="1"/>
  <c r="F20" i="14"/>
  <c r="E19" i="14"/>
  <c r="G18" i="14"/>
  <c r="E16" i="14"/>
  <c r="E13" i="14"/>
  <c r="E11" i="14"/>
  <c r="E10" i="14"/>
  <c r="E9" i="14" s="1"/>
  <c r="E7" i="14"/>
  <c r="G6" i="14"/>
  <c r="E6" i="14" l="1"/>
  <c r="F10" i="14"/>
  <c r="H10" i="14" s="1"/>
  <c r="E31" i="14"/>
  <c r="F8" i="14"/>
  <c r="F6" i="14" s="1"/>
  <c r="G5" i="14"/>
  <c r="E21" i="14"/>
  <c r="E18" i="14" s="1"/>
  <c r="F18" i="14"/>
  <c r="H20" i="14"/>
  <c r="H18" i="14" s="1"/>
  <c r="E43" i="14"/>
  <c r="F45" i="14"/>
  <c r="F47" i="14"/>
  <c r="H47" i="14" s="1"/>
  <c r="F33" i="14"/>
  <c r="H33" i="14" s="1"/>
  <c r="F35" i="14"/>
  <c r="H35" i="14" s="1"/>
  <c r="H8" i="14" l="1"/>
  <c r="H6" i="14" s="1"/>
  <c r="E5" i="14"/>
  <c r="F43" i="14"/>
  <c r="H45" i="14"/>
  <c r="H43" i="14" s="1"/>
  <c r="H31" i="14"/>
  <c r="F31" i="14"/>
  <c r="F5" i="14" l="1"/>
  <c r="H5" i="14"/>
  <c r="E403" i="13"/>
  <c r="E401" i="13"/>
  <c r="E391" i="13"/>
  <c r="E386" i="13"/>
  <c r="E381" i="13"/>
  <c r="E377" i="13"/>
  <c r="E370" i="13"/>
  <c r="E364" i="13"/>
  <c r="E361" i="13"/>
  <c r="E357" i="13"/>
  <c r="E353" i="13"/>
  <c r="E350" i="13" s="1"/>
  <c r="E347" i="13"/>
  <c r="E340" i="13"/>
  <c r="E333" i="13"/>
  <c r="E330" i="13"/>
  <c r="E322" i="13"/>
  <c r="E315" i="13"/>
  <c r="E312" i="13"/>
  <c r="E305" i="13"/>
  <c r="E298" i="13"/>
  <c r="E285" i="13"/>
  <c r="E295" i="13"/>
  <c r="E273" i="13"/>
  <c r="E280" i="13"/>
  <c r="E269" i="13"/>
  <c r="E261" i="13"/>
  <c r="E254" i="13"/>
  <c r="E251" i="13"/>
  <c r="E241" i="13"/>
  <c r="E233" i="13"/>
  <c r="E230" i="13"/>
  <c r="E223" i="13"/>
  <c r="E216" i="13"/>
  <c r="E213" i="13"/>
  <c r="E203" i="13"/>
  <c r="E202" i="13" s="1"/>
  <c r="E195" i="13"/>
  <c r="E192" i="13"/>
  <c r="E185" i="13"/>
  <c r="E177" i="13"/>
  <c r="E127" i="13"/>
  <c r="E140" i="13"/>
  <c r="E136" i="13"/>
  <c r="E146" i="13"/>
  <c r="E155" i="13"/>
  <c r="E150" i="13"/>
  <c r="E161" i="13"/>
  <c r="E172" i="13"/>
  <c r="E174" i="13"/>
  <c r="E124" i="13"/>
  <c r="E116" i="13"/>
  <c r="E115" i="13" s="1"/>
  <c r="E78" i="13"/>
  <c r="E72" i="13"/>
  <c r="E71" i="13" s="1"/>
  <c r="E66" i="13"/>
  <c r="E61" i="13"/>
  <c r="E57" i="13"/>
  <c r="E46" i="13"/>
  <c r="E42" i="13" s="1"/>
  <c r="E50" i="13"/>
  <c r="E38" i="13"/>
  <c r="E23" i="13"/>
  <c r="E19" i="13"/>
  <c r="E16" i="13"/>
  <c r="E13" i="13"/>
  <c r="E7" i="13"/>
  <c r="G73" i="12"/>
  <c r="G72" i="12" s="1"/>
  <c r="D72" i="12"/>
  <c r="G69" i="12"/>
  <c r="G67" i="12"/>
  <c r="E66" i="12"/>
  <c r="D66" i="12"/>
  <c r="D65" i="12"/>
  <c r="G65" i="12" s="1"/>
  <c r="G64" i="12"/>
  <c r="E63" i="12"/>
  <c r="G59" i="12"/>
  <c r="F59" i="12"/>
  <c r="E59" i="12"/>
  <c r="D59" i="12"/>
  <c r="G58" i="12"/>
  <c r="G52" i="12" s="1"/>
  <c r="E53" i="12"/>
  <c r="E52" i="12" s="1"/>
  <c r="F52" i="12"/>
  <c r="D52" i="12"/>
  <c r="G51" i="12"/>
  <c r="G50" i="12"/>
  <c r="G49" i="12"/>
  <c r="G48" i="12"/>
  <c r="G47" i="12"/>
  <c r="G46" i="12"/>
  <c r="F45" i="12"/>
  <c r="E45" i="12"/>
  <c r="D45" i="12"/>
  <c r="G44" i="12"/>
  <c r="G43" i="12"/>
  <c r="G42" i="12"/>
  <c r="E41" i="12"/>
  <c r="D41" i="12"/>
  <c r="G40" i="12"/>
  <c r="G39" i="12"/>
  <c r="G38" i="12"/>
  <c r="G37" i="12"/>
  <c r="G36" i="12"/>
  <c r="G35" i="12"/>
  <c r="G34" i="12"/>
  <c r="G33" i="12"/>
  <c r="G32" i="12"/>
  <c r="G31" i="12"/>
  <c r="G30" i="12"/>
  <c r="F28" i="12"/>
  <c r="F27" i="12" s="1"/>
  <c r="E28" i="12"/>
  <c r="D28" i="12"/>
  <c r="D26" i="12"/>
  <c r="E26" i="12" s="1"/>
  <c r="E25" i="12" s="1"/>
  <c r="G25" i="12"/>
  <c r="E23" i="12"/>
  <c r="E22" i="12" s="1"/>
  <c r="G22" i="12"/>
  <c r="E20" i="12"/>
  <c r="E19" i="12" s="1"/>
  <c r="G19" i="12"/>
  <c r="D16" i="12"/>
  <c r="E16" i="12" s="1"/>
  <c r="E15" i="12" s="1"/>
  <c r="G15" i="12"/>
  <c r="G14" i="12"/>
  <c r="G11" i="12" s="1"/>
  <c r="E12" i="12"/>
  <c r="E11" i="12" s="1"/>
  <c r="D11" i="12"/>
  <c r="F10" i="12"/>
  <c r="G6" i="12"/>
  <c r="E6" i="12"/>
  <c r="D6" i="12"/>
  <c r="E146" i="11"/>
  <c r="E144" i="11"/>
  <c r="E139" i="11"/>
  <c r="E136" i="11"/>
  <c r="E133" i="11"/>
  <c r="E129" i="11"/>
  <c r="E125" i="11"/>
  <c r="E123" i="11" s="1"/>
  <c r="E120" i="11"/>
  <c r="E118" i="11"/>
  <c r="E115" i="11"/>
  <c r="E112" i="11"/>
  <c r="E110" i="11"/>
  <c r="E107" i="11"/>
  <c r="E103" i="11"/>
  <c r="E101" i="11" s="1"/>
  <c r="E84" i="11"/>
  <c r="E83" i="11" s="1"/>
  <c r="E79" i="11"/>
  <c r="E77" i="11" s="1"/>
  <c r="E98" i="11"/>
  <c r="E93" i="11"/>
  <c r="E91" i="11"/>
  <c r="E89" i="11"/>
  <c r="E87" i="11"/>
  <c r="D95" i="11"/>
  <c r="E74" i="11"/>
  <c r="E72" i="11"/>
  <c r="E70" i="11"/>
  <c r="E64" i="11"/>
  <c r="E60" i="11"/>
  <c r="E58" i="11" s="1"/>
  <c r="E29" i="11"/>
  <c r="E27" i="11"/>
  <c r="E24" i="11"/>
  <c r="E21" i="11"/>
  <c r="E18" i="11"/>
  <c r="E13" i="11"/>
  <c r="E7" i="11"/>
  <c r="E32" i="11"/>
  <c r="E38" i="11"/>
  <c r="E42" i="11"/>
  <c r="E48" i="11"/>
  <c r="E47" i="11" s="1"/>
  <c r="E53" i="11"/>
  <c r="E27" i="12" l="1"/>
  <c r="G10" i="12"/>
  <c r="D63" i="12"/>
  <c r="G45" i="12"/>
  <c r="D19" i="12"/>
  <c r="G41" i="12"/>
  <c r="G66" i="12"/>
  <c r="F5" i="12"/>
  <c r="G63" i="12"/>
  <c r="G28" i="12"/>
  <c r="D15" i="12"/>
  <c r="E10" i="12"/>
  <c r="E5" i="12" s="1"/>
  <c r="D27" i="12"/>
  <c r="E122" i="11"/>
  <c r="E380" i="13"/>
  <c r="E363" i="13" s="1"/>
  <c r="E332" i="13"/>
  <c r="E297" i="13"/>
  <c r="E272" i="13"/>
  <c r="E253" i="13" s="1"/>
  <c r="E215" i="13"/>
  <c r="E176" i="13"/>
  <c r="E135" i="13"/>
  <c r="E149" i="13"/>
  <c r="E160" i="13"/>
  <c r="E80" i="13"/>
  <c r="E60" i="13"/>
  <c r="E41" i="13" s="1"/>
  <c r="D22" i="12"/>
  <c r="D25" i="12"/>
  <c r="E100" i="11"/>
  <c r="E76" i="11"/>
  <c r="E57" i="11"/>
  <c r="E6" i="11"/>
  <c r="E31" i="11"/>
  <c r="E56" i="9"/>
  <c r="E10" i="9"/>
  <c r="E166" i="9"/>
  <c r="E165" i="9" s="1"/>
  <c r="E164" i="9"/>
  <c r="E163" i="9" s="1"/>
  <c r="E162" i="9"/>
  <c r="E161" i="9" s="1"/>
  <c r="E160" i="9"/>
  <c r="E159" i="9"/>
  <c r="E158" i="9"/>
  <c r="E156" i="9"/>
  <c r="E155" i="9"/>
  <c r="E153" i="9"/>
  <c r="E150" i="9"/>
  <c r="E148" i="9"/>
  <c r="E147" i="9" s="1"/>
  <c r="E146" i="9"/>
  <c r="E145" i="9" s="1"/>
  <c r="E144" i="9"/>
  <c r="E143" i="9"/>
  <c r="E142" i="9"/>
  <c r="E140" i="9"/>
  <c r="E139" i="9"/>
  <c r="E137" i="9"/>
  <c r="E134" i="9"/>
  <c r="E132" i="9"/>
  <c r="E131" i="9" s="1"/>
  <c r="E130" i="9"/>
  <c r="E129" i="9" s="1"/>
  <c r="E128" i="9"/>
  <c r="E127" i="9" s="1"/>
  <c r="E126" i="9"/>
  <c r="E125" i="9"/>
  <c r="E124" i="9"/>
  <c r="E122" i="9"/>
  <c r="E121" i="9"/>
  <c r="E119" i="9"/>
  <c r="E116" i="9"/>
  <c r="E114" i="9"/>
  <c r="E113" i="9" s="1"/>
  <c r="E112" i="9"/>
  <c r="E111" i="9" s="1"/>
  <c r="E110" i="9"/>
  <c r="E109" i="9" s="1"/>
  <c r="E108" i="9"/>
  <c r="E107" i="9"/>
  <c r="E106" i="9"/>
  <c r="E104" i="9"/>
  <c r="E103" i="9"/>
  <c r="E101" i="9"/>
  <c r="E98" i="9"/>
  <c r="E96" i="9"/>
  <c r="E95" i="9" s="1"/>
  <c r="E94" i="9"/>
  <c r="E93" i="9" s="1"/>
  <c r="E92" i="9"/>
  <c r="E91" i="9" s="1"/>
  <c r="E90" i="9"/>
  <c r="E89" i="9"/>
  <c r="E88" i="9"/>
  <c r="E86" i="9"/>
  <c r="E85" i="9"/>
  <c r="E83" i="9"/>
  <c r="E80" i="9"/>
  <c r="E78" i="9"/>
  <c r="E77" i="9" s="1"/>
  <c r="E76" i="9"/>
  <c r="E74" i="9" s="1"/>
  <c r="E73" i="9"/>
  <c r="E72" i="9" s="1"/>
  <c r="E71" i="9"/>
  <c r="E70" i="9"/>
  <c r="E69" i="9"/>
  <c r="E67" i="9"/>
  <c r="E66" i="9"/>
  <c r="E64" i="9"/>
  <c r="E61" i="9"/>
  <c r="E59" i="9"/>
  <c r="E58" i="9" s="1"/>
  <c r="E55" i="9"/>
  <c r="E54" i="9" s="1"/>
  <c r="E53" i="9"/>
  <c r="E52" i="9"/>
  <c r="E51" i="9"/>
  <c r="E49" i="9"/>
  <c r="E48" i="9"/>
  <c r="E46" i="9"/>
  <c r="E43" i="9"/>
  <c r="E41" i="9"/>
  <c r="E40" i="9" s="1"/>
  <c r="E39" i="9"/>
  <c r="E38" i="9" s="1"/>
  <c r="E37" i="9"/>
  <c r="E36" i="9" s="1"/>
  <c r="E35" i="9"/>
  <c r="E34" i="9"/>
  <c r="E33" i="9"/>
  <c r="E31" i="9"/>
  <c r="E30" i="9"/>
  <c r="E28" i="9"/>
  <c r="E25" i="9"/>
  <c r="E23" i="9"/>
  <c r="E22" i="9"/>
  <c r="E20" i="9"/>
  <c r="E19" i="9"/>
  <c r="E17" i="9"/>
  <c r="E16" i="9" s="1"/>
  <c r="E15" i="9"/>
  <c r="E14" i="9"/>
  <c r="E13" i="9"/>
  <c r="E11" i="9"/>
  <c r="E8" i="9"/>
  <c r="G36" i="8"/>
  <c r="E36" i="8"/>
  <c r="D42" i="8"/>
  <c r="D41" i="8"/>
  <c r="D39" i="8"/>
  <c r="D40" i="8"/>
  <c r="F36" i="8"/>
  <c r="D38" i="8"/>
  <c r="D37" i="8"/>
  <c r="E34" i="8"/>
  <c r="G35" i="8"/>
  <c r="D35" i="8" s="1"/>
  <c r="G30" i="8"/>
  <c r="E30" i="8"/>
  <c r="I32" i="8"/>
  <c r="E26" i="8"/>
  <c r="F26" i="8"/>
  <c r="G26" i="8"/>
  <c r="E22" i="8"/>
  <c r="F22" i="8"/>
  <c r="F21" i="8" s="1"/>
  <c r="G22" i="8"/>
  <c r="G17" i="8"/>
  <c r="D19" i="8"/>
  <c r="E11" i="8"/>
  <c r="E10" i="8" s="1"/>
  <c r="E6" i="8"/>
  <c r="D6" i="8"/>
  <c r="F34" i="8"/>
  <c r="G13" i="8"/>
  <c r="G12" i="8"/>
  <c r="G9" i="8"/>
  <c r="G8" i="8"/>
  <c r="G7" i="8"/>
  <c r="E161" i="7"/>
  <c r="E159" i="7"/>
  <c r="E153" i="7"/>
  <c r="E145" i="7"/>
  <c r="E141" i="7"/>
  <c r="E136" i="7"/>
  <c r="E133" i="7"/>
  <c r="E128" i="7"/>
  <c r="E125" i="7" s="1"/>
  <c r="E122" i="7"/>
  <c r="E120" i="7"/>
  <c r="E111" i="7"/>
  <c r="E106" i="7"/>
  <c r="E102" i="7"/>
  <c r="E98" i="7"/>
  <c r="E91" i="7"/>
  <c r="E95" i="7"/>
  <c r="E86" i="7"/>
  <c r="E83" i="7" s="1"/>
  <c r="E79" i="7"/>
  <c r="E77" i="7"/>
  <c r="E70" i="7"/>
  <c r="E67" i="7"/>
  <c r="E62" i="7"/>
  <c r="E58" i="7"/>
  <c r="E55" i="7"/>
  <c r="E47" i="7"/>
  <c r="E44" i="7" s="1"/>
  <c r="E41" i="7"/>
  <c r="E39" i="7"/>
  <c r="E33" i="7"/>
  <c r="E28" i="7"/>
  <c r="E24" i="7"/>
  <c r="E19" i="7"/>
  <c r="E15" i="7"/>
  <c r="E10" i="7"/>
  <c r="E7" i="7" s="1"/>
  <c r="G27" i="12" l="1"/>
  <c r="G5" i="12" s="1"/>
  <c r="E5" i="11"/>
  <c r="G11" i="8"/>
  <c r="G10" i="8" s="1"/>
  <c r="D11" i="8"/>
  <c r="D10" i="8" s="1"/>
  <c r="D10" i="12"/>
  <c r="D5" i="12" s="1"/>
  <c r="G34" i="8"/>
  <c r="E157" i="9"/>
  <c r="E120" i="9"/>
  <c r="E118" i="9" s="1"/>
  <c r="E138" i="9"/>
  <c r="E136" i="9" s="1"/>
  <c r="E101" i="7"/>
  <c r="E132" i="7"/>
  <c r="E124" i="7" s="1"/>
  <c r="E126" i="13"/>
  <c r="E5" i="13" s="1"/>
  <c r="E133" i="9"/>
  <c r="E149" i="9"/>
  <c r="E154" i="9"/>
  <c r="E152" i="9" s="1"/>
  <c r="E141" i="9"/>
  <c r="E123" i="9"/>
  <c r="E102" i="9"/>
  <c r="E100" i="9" s="1"/>
  <c r="E105" i="9"/>
  <c r="E115" i="9"/>
  <c r="E65" i="9"/>
  <c r="E63" i="9" s="1"/>
  <c r="E97" i="9"/>
  <c r="E68" i="9"/>
  <c r="E87" i="9"/>
  <c r="E79" i="9"/>
  <c r="E84" i="9"/>
  <c r="E82" i="9" s="1"/>
  <c r="E32" i="9"/>
  <c r="E50" i="9"/>
  <c r="E60" i="9"/>
  <c r="E12" i="9"/>
  <c r="E18" i="9"/>
  <c r="E24" i="9"/>
  <c r="E42" i="9"/>
  <c r="E47" i="9"/>
  <c r="E45" i="9" s="1"/>
  <c r="E29" i="9"/>
  <c r="E27" i="9" s="1"/>
  <c r="E21" i="9"/>
  <c r="E9" i="9"/>
  <c r="E7" i="9" s="1"/>
  <c r="G6" i="8"/>
  <c r="E21" i="8"/>
  <c r="E90" i="7"/>
  <c r="E51" i="7"/>
  <c r="E61" i="7"/>
  <c r="E14" i="7"/>
  <c r="E6" i="7" s="1"/>
  <c r="E151" i="9" l="1"/>
  <c r="E82" i="7"/>
  <c r="E135" i="9"/>
  <c r="E117" i="9"/>
  <c r="E99" i="9"/>
  <c r="E81" i="9"/>
  <c r="E62" i="9"/>
  <c r="E44" i="9"/>
  <c r="E26" i="9"/>
  <c r="E6" i="9"/>
  <c r="E43" i="7"/>
  <c r="E5" i="9" l="1"/>
  <c r="E5" i="7"/>
  <c r="E53" i="6"/>
  <c r="G51" i="6"/>
  <c r="D51" i="6"/>
  <c r="E43" i="6"/>
  <c r="G43" i="6"/>
  <c r="D43" i="6"/>
  <c r="G56" i="6"/>
  <c r="D54" i="6"/>
  <c r="G54" i="6" s="1"/>
  <c r="G53" i="6" s="1"/>
  <c r="D50" i="6"/>
  <c r="E49" i="6"/>
  <c r="E48" i="6" s="1"/>
  <c r="D49" i="6"/>
  <c r="G46" i="6"/>
  <c r="D46" i="6"/>
  <c r="G38" i="6"/>
  <c r="G37" i="6" s="1"/>
  <c r="F37" i="6"/>
  <c r="E37" i="6"/>
  <c r="D37" i="6"/>
  <c r="G36" i="6"/>
  <c r="G35" i="6"/>
  <c r="G34" i="6"/>
  <c r="G33" i="6"/>
  <c r="E32" i="6"/>
  <c r="D32" i="6"/>
  <c r="G29" i="6"/>
  <c r="F29" i="6"/>
  <c r="F28" i="6" s="1"/>
  <c r="E29" i="6"/>
  <c r="D29" i="6"/>
  <c r="D28" i="6" s="1"/>
  <c r="G26" i="6"/>
  <c r="F26" i="6"/>
  <c r="E26" i="6"/>
  <c r="D26" i="6"/>
  <c r="G24" i="6"/>
  <c r="E24" i="6"/>
  <c r="G21" i="6"/>
  <c r="E21" i="6"/>
  <c r="D21" i="6"/>
  <c r="G18" i="6"/>
  <c r="E18" i="6"/>
  <c r="D18" i="6"/>
  <c r="G15" i="6"/>
  <c r="E15" i="6"/>
  <c r="G14" i="6"/>
  <c r="G13" i="6"/>
  <c r="E12" i="6"/>
  <c r="D12" i="6"/>
  <c r="F11" i="6"/>
  <c r="F5" i="6" s="1"/>
  <c r="G6" i="6"/>
  <c r="E6" i="6"/>
  <c r="D6" i="6"/>
  <c r="D53" i="6" l="1"/>
  <c r="D48" i="6"/>
  <c r="G49" i="6"/>
  <c r="E28" i="6"/>
  <c r="E11" i="6"/>
  <c r="G32" i="6"/>
  <c r="G28" i="6" s="1"/>
  <c r="G12" i="6"/>
  <c r="G11" i="6" s="1"/>
  <c r="D11" i="6"/>
  <c r="G50" i="6"/>
  <c r="D5" i="6" l="1"/>
  <c r="E5" i="6"/>
  <c r="G48" i="6"/>
  <c r="G5" i="6" s="1"/>
  <c r="E9" i="5" l="1"/>
  <c r="E7" i="5" s="1"/>
  <c r="E14" i="5"/>
  <c r="E17" i="5"/>
  <c r="E23" i="5"/>
  <c r="E27" i="5"/>
  <c r="E30" i="5"/>
  <c r="E33" i="5"/>
  <c r="E32" i="5" s="1"/>
  <c r="E37" i="5"/>
  <c r="E40" i="5"/>
  <c r="E117" i="4"/>
  <c r="E110" i="4"/>
  <c r="E109" i="4" s="1"/>
  <c r="E108" i="4"/>
  <c r="E106" i="4" s="1"/>
  <c r="D108" i="4"/>
  <c r="D107" i="4"/>
  <c r="E102" i="4"/>
  <c r="E98" i="4"/>
  <c r="E97" i="4" s="1"/>
  <c r="E94" i="4"/>
  <c r="E90" i="4"/>
  <c r="E85" i="4"/>
  <c r="E81" i="4"/>
  <c r="E76" i="4" s="1"/>
  <c r="D82" i="4"/>
  <c r="E13" i="5" l="1"/>
  <c r="E96" i="4"/>
  <c r="E26" i="5"/>
  <c r="E84" i="4"/>
  <c r="E61" i="4" s="1"/>
  <c r="E5" i="4" s="1"/>
  <c r="D53" i="2"/>
  <c r="D52" i="2"/>
  <c r="D51" i="2"/>
  <c r="D50" i="2"/>
  <c r="D49" i="2"/>
  <c r="G48" i="2"/>
  <c r="E48" i="2"/>
  <c r="G47" i="2"/>
  <c r="G46" i="2" s="1"/>
  <c r="E47" i="2"/>
  <c r="G45" i="2"/>
  <c r="G44" i="2" s="1"/>
  <c r="E45" i="2"/>
  <c r="E44" i="2" s="1"/>
  <c r="G43" i="2"/>
  <c r="D43" i="2" s="1"/>
  <c r="D42" i="2" s="1"/>
  <c r="D40" i="2"/>
  <c r="D39" i="2"/>
  <c r="E39" i="2" s="1"/>
  <c r="E38" i="2" s="1"/>
  <c r="G38" i="2"/>
  <c r="F36" i="2"/>
  <c r="E36" i="2"/>
  <c r="D36" i="2"/>
  <c r="D35" i="2"/>
  <c r="D34" i="2"/>
  <c r="E33" i="2"/>
  <c r="G28" i="2"/>
  <c r="F28" i="2"/>
  <c r="E28" i="2"/>
  <c r="G22" i="2"/>
  <c r="E22" i="2"/>
  <c r="D22" i="2"/>
  <c r="G20" i="2"/>
  <c r="G19" i="2" s="1"/>
  <c r="D19" i="2"/>
  <c r="D18" i="2"/>
  <c r="G16" i="2"/>
  <c r="F16" i="2"/>
  <c r="E16" i="2"/>
  <c r="D16" i="2"/>
  <c r="D15" i="2"/>
  <c r="E15" i="2" s="1"/>
  <c r="E14" i="2" s="1"/>
  <c r="D13" i="2"/>
  <c r="E13" i="2" s="1"/>
  <c r="E12" i="2" s="1"/>
  <c r="D11" i="2"/>
  <c r="E11" i="2" s="1"/>
  <c r="D10" i="2"/>
  <c r="E10" i="2" s="1"/>
  <c r="D7" i="2"/>
  <c r="D6" i="2"/>
  <c r="D5" i="2"/>
  <c r="G4" i="2"/>
  <c r="E4" i="2"/>
  <c r="E508" i="1"/>
  <c r="E233" i="1"/>
  <c r="E225" i="1"/>
  <c r="E213" i="1"/>
  <c r="E207" i="1"/>
  <c r="E201" i="1"/>
  <c r="E193" i="1"/>
  <c r="E189" i="1"/>
  <c r="E187" i="1" s="1"/>
  <c r="E183" i="1"/>
  <c r="E174" i="1"/>
  <c r="E164" i="1"/>
  <c r="E156" i="1"/>
  <c r="E151" i="1"/>
  <c r="E143" i="1"/>
  <c r="E139" i="1"/>
  <c r="E136" i="1" s="1"/>
  <c r="E133" i="1"/>
  <c r="E129" i="1"/>
  <c r="E123" i="1"/>
  <c r="E112" i="1"/>
  <c r="E104" i="1"/>
  <c r="E98" i="1"/>
  <c r="E91" i="1"/>
  <c r="E87" i="1"/>
  <c r="E84" i="1" s="1"/>
  <c r="E80" i="1"/>
  <c r="E77" i="1"/>
  <c r="E73" i="1"/>
  <c r="E67" i="1"/>
  <c r="E60" i="1"/>
  <c r="E53" i="1"/>
  <c r="E49" i="1"/>
  <c r="E46" i="1" s="1"/>
  <c r="E43" i="1"/>
  <c r="E40" i="1"/>
  <c r="E32" i="1"/>
  <c r="E31" i="1" s="1"/>
  <c r="E27" i="1"/>
  <c r="E23" i="1"/>
  <c r="E14" i="1"/>
  <c r="E10" i="1"/>
  <c r="E7" i="1" s="1"/>
  <c r="E515" i="1"/>
  <c r="E513" i="1"/>
  <c r="E512" i="1" s="1"/>
  <c r="E499" i="1"/>
  <c r="E497" i="1" s="1"/>
  <c r="E493" i="1"/>
  <c r="E492" i="1"/>
  <c r="E491" i="1"/>
  <c r="E488" i="1"/>
  <c r="E487" i="1" s="1"/>
  <c r="E486" i="1"/>
  <c r="E485" i="1"/>
  <c r="E483" i="1"/>
  <c r="E481" i="1"/>
  <c r="E480" i="1"/>
  <c r="E479" i="1"/>
  <c r="E474" i="1"/>
  <c r="E473" i="1"/>
  <c r="E471" i="1"/>
  <c r="E470" i="1"/>
  <c r="E469" i="1"/>
  <c r="E465" i="1"/>
  <c r="E464" i="1"/>
  <c r="E463" i="1"/>
  <c r="E455" i="1"/>
  <c r="E454" i="1"/>
  <c r="E453" i="1"/>
  <c r="E451" i="1"/>
  <c r="E450" i="1"/>
  <c r="E448" i="1"/>
  <c r="E447" i="1"/>
  <c r="E446" i="1"/>
  <c r="E445" i="1"/>
  <c r="E444" i="1"/>
  <c r="E443" i="1"/>
  <c r="E440" i="1"/>
  <c r="E439" i="1" s="1"/>
  <c r="E438" i="1"/>
  <c r="E437" i="1"/>
  <c r="E435" i="1"/>
  <c r="E434" i="1"/>
  <c r="E433" i="1"/>
  <c r="E431" i="1"/>
  <c r="E430" i="1"/>
  <c r="E427" i="1"/>
  <c r="E426" i="1"/>
  <c r="E424" i="1"/>
  <c r="E423" i="1"/>
  <c r="E422" i="1"/>
  <c r="E419" i="1"/>
  <c r="E413" i="1"/>
  <c r="E412" i="1" s="1"/>
  <c r="E410" i="1"/>
  <c r="E409" i="1"/>
  <c r="E408" i="1"/>
  <c r="E407" i="1"/>
  <c r="E406" i="1"/>
  <c r="E405" i="1"/>
  <c r="E402" i="1"/>
  <c r="E401" i="1" s="1"/>
  <c r="E400" i="1"/>
  <c r="E399" i="1"/>
  <c r="E398" i="1"/>
  <c r="E396" i="1"/>
  <c r="E395" i="1"/>
  <c r="E394" i="1"/>
  <c r="E392" i="1"/>
  <c r="E388" i="1"/>
  <c r="E387" i="1"/>
  <c r="E385" i="1"/>
  <c r="E384" i="1"/>
  <c r="E383" i="1"/>
  <c r="E381" i="1"/>
  <c r="E380" i="1"/>
  <c r="E378" i="1" s="1"/>
  <c r="E369" i="1"/>
  <c r="E366" i="1" s="1"/>
  <c r="E364" i="1"/>
  <c r="E363" i="1"/>
  <c r="E362" i="1"/>
  <c r="E361" i="1"/>
  <c r="E360" i="1"/>
  <c r="E359" i="1"/>
  <c r="E357" i="1"/>
  <c r="E356" i="1"/>
  <c r="E355" i="1"/>
  <c r="E354" i="1"/>
  <c r="E353" i="1"/>
  <c r="E350" i="1"/>
  <c r="E349" i="1" s="1"/>
  <c r="E348" i="1"/>
  <c r="E347" i="1"/>
  <c r="E346" i="1"/>
  <c r="E344" i="1"/>
  <c r="E343" i="1"/>
  <c r="E342" i="1"/>
  <c r="E340" i="1"/>
  <c r="E339" i="1"/>
  <c r="E336" i="1"/>
  <c r="E334" i="1"/>
  <c r="E333" i="1"/>
  <c r="E332" i="1"/>
  <c r="E330" i="1"/>
  <c r="E328" i="1"/>
  <c r="E320" i="1"/>
  <c r="E318" i="1" s="1"/>
  <c r="E316" i="1"/>
  <c r="E315" i="1"/>
  <c r="E314" i="1"/>
  <c r="E313" i="1"/>
  <c r="E312" i="1"/>
  <c r="E311" i="1"/>
  <c r="E309" i="1"/>
  <c r="E308" i="1"/>
  <c r="E307" i="1"/>
  <c r="E306" i="1"/>
  <c r="E305" i="1"/>
  <c r="E304" i="1"/>
  <c r="E301" i="1"/>
  <c r="E300" i="1" s="1"/>
  <c r="E299" i="1"/>
  <c r="E298" i="1"/>
  <c r="E297" i="1"/>
  <c r="E295" i="1"/>
  <c r="E294" i="1"/>
  <c r="E293" i="1"/>
  <c r="E291" i="1"/>
  <c r="E287" i="1"/>
  <c r="E285" i="1"/>
  <c r="E284" i="1" s="1"/>
  <c r="E283" i="1"/>
  <c r="E281" i="1"/>
  <c r="E268" i="1"/>
  <c r="E265" i="1" s="1"/>
  <c r="E263" i="1"/>
  <c r="E262" i="1"/>
  <c r="E261" i="1"/>
  <c r="E260" i="1"/>
  <c r="E259" i="1"/>
  <c r="E258" i="1"/>
  <c r="E256" i="1"/>
  <c r="E255" i="1"/>
  <c r="E254" i="1"/>
  <c r="E253" i="1"/>
  <c r="E252" i="1"/>
  <c r="E251" i="1"/>
  <c r="E248" i="1"/>
  <c r="E247" i="1" s="1"/>
  <c r="E246" i="1"/>
  <c r="E245" i="1"/>
  <c r="E244" i="1"/>
  <c r="E243" i="1"/>
  <c r="E241" i="1"/>
  <c r="E240" i="1"/>
  <c r="E239" i="1"/>
  <c r="G21" i="2" l="1"/>
  <c r="D38" i="2"/>
  <c r="D47" i="2"/>
  <c r="D46" i="2" s="1"/>
  <c r="E9" i="2"/>
  <c r="E8" i="2" s="1"/>
  <c r="D4" i="2"/>
  <c r="D48" i="2"/>
  <c r="E21" i="2"/>
  <c r="D33" i="2"/>
  <c r="D21" i="2" s="1"/>
  <c r="E6" i="5"/>
  <c r="E5" i="5" s="1"/>
  <c r="E496" i="1"/>
  <c r="E46" i="2"/>
  <c r="E41" i="2" s="1"/>
  <c r="G42" i="2"/>
  <c r="G41" i="2" s="1"/>
  <c r="G3" i="2" s="1"/>
  <c r="D45" i="2"/>
  <c r="D44" i="2" s="1"/>
  <c r="D12" i="2"/>
  <c r="D9" i="2"/>
  <c r="D14" i="2"/>
  <c r="E472" i="1"/>
  <c r="E457" i="1"/>
  <c r="E456" i="1" s="1"/>
  <c r="E442" i="1"/>
  <c r="E425" i="1"/>
  <c r="E411" i="1"/>
  <c r="E404" i="1"/>
  <c r="E403" i="1" s="1"/>
  <c r="E397" i="1"/>
  <c r="E386" i="1"/>
  <c r="E358" i="1"/>
  <c r="E345" i="1"/>
  <c r="E286" i="1"/>
  <c r="E278" i="1"/>
  <c r="E264" i="1" s="1"/>
  <c r="E250" i="1"/>
  <c r="E242" i="1"/>
  <c r="E238" i="1"/>
  <c r="E236" i="1" s="1"/>
  <c r="E163" i="1"/>
  <c r="E212" i="1"/>
  <c r="E186" i="1" s="1"/>
  <c r="E150" i="1"/>
  <c r="E111" i="1"/>
  <c r="E327" i="1"/>
  <c r="E449" i="1"/>
  <c r="E59" i="1"/>
  <c r="E45" i="1" s="1"/>
  <c r="E97" i="1"/>
  <c r="E478" i="1"/>
  <c r="E476" i="1" s="1"/>
  <c r="E514" i="1"/>
  <c r="E335" i="1"/>
  <c r="E22" i="1"/>
  <c r="E6" i="1" s="1"/>
  <c r="E468" i="1"/>
  <c r="E432" i="1"/>
  <c r="E429" i="1" s="1"/>
  <c r="E490" i="1"/>
  <c r="E296" i="1"/>
  <c r="E310" i="1"/>
  <c r="E352" i="1"/>
  <c r="E365" i="1"/>
  <c r="E393" i="1"/>
  <c r="E390" i="1" s="1"/>
  <c r="E421" i="1"/>
  <c r="E257" i="1"/>
  <c r="E292" i="1"/>
  <c r="E289" i="1" s="1"/>
  <c r="E303" i="1"/>
  <c r="E436" i="1"/>
  <c r="E482" i="1"/>
  <c r="E331" i="1"/>
  <c r="E341" i="1"/>
  <c r="E338" i="1" s="1"/>
  <c r="E382" i="1"/>
  <c r="D41" i="2" l="1"/>
  <c r="E3" i="2"/>
  <c r="E475" i="1"/>
  <c r="D8" i="2"/>
  <c r="D3" i="2" s="1"/>
  <c r="E441" i="1"/>
  <c r="E428" i="1" s="1"/>
  <c r="E302" i="1"/>
  <c r="E389" i="1"/>
  <c r="E249" i="1"/>
  <c r="E235" i="1" s="1"/>
  <c r="E135" i="1"/>
  <c r="E83" i="1"/>
  <c r="E317" i="1"/>
  <c r="E288" i="1" l="1"/>
  <c r="E351" i="1" l="1"/>
  <c r="E337" i="1" s="1"/>
  <c r="E5" i="1" s="1"/>
  <c r="D18" i="8"/>
  <c r="D17" i="8" s="1"/>
  <c r="D23" i="8"/>
  <c r="D24" i="8"/>
  <c r="D22" i="8" s="1"/>
  <c r="D25" i="8"/>
  <c r="D27" i="8"/>
  <c r="D28" i="8"/>
  <c r="D29" i="8"/>
  <c r="D31" i="8"/>
  <c r="D32" i="8"/>
  <c r="D33" i="8"/>
  <c r="G21" i="8"/>
  <c r="G5" i="8" s="1"/>
  <c r="D34" i="8"/>
  <c r="D43" i="8"/>
  <c r="D36" i="8" s="1"/>
  <c r="E5" i="8"/>
  <c r="D26" i="8" l="1"/>
  <c r="D21" i="8" s="1"/>
  <c r="D5" i="8" s="1"/>
  <c r="D30" i="8"/>
</calcChain>
</file>

<file path=xl/comments1.xml><?xml version="1.0" encoding="utf-8"?>
<comments xmlns="http://schemas.openxmlformats.org/spreadsheetml/2006/main">
  <authors>
    <author>HoangLan</author>
  </authors>
  <commentList>
    <comment ref="B14" authorId="0" shapeId="0">
      <text>
        <r>
          <rPr>
            <b/>
            <sz val="9"/>
            <color indexed="81"/>
            <rFont val="Tahoma"/>
            <family val="2"/>
          </rPr>
          <t>Tổng hợp theo các nội dung chi tiết ở Biểu Vườn hộ và công trình chăn nuôi</t>
        </r>
      </text>
    </comment>
    <comment ref="B20" authorId="0" shapeId="0">
      <text>
        <r>
          <rPr>
            <b/>
            <sz val="9"/>
            <color indexed="81"/>
            <rFont val="Tahoma"/>
            <family val="2"/>
          </rPr>
          <t>Tổng hợp theo các nội dung ở Biểu chi tiết Hàng rào</t>
        </r>
        <r>
          <rPr>
            <sz val="9"/>
            <color indexed="81"/>
            <rFont val="Tahoma"/>
            <family val="2"/>
          </rPr>
          <t xml:space="preserve">
</t>
        </r>
      </text>
    </comment>
    <comment ref="B22" authorId="0" shapeId="0">
      <text>
        <r>
          <rPr>
            <b/>
            <sz val="9"/>
            <color indexed="81"/>
            <rFont val="Tahoma"/>
            <family val="2"/>
          </rPr>
          <t>Tổng hợp theo các nội dung ở Biểu chi tiết Hàng rào</t>
        </r>
        <r>
          <rPr>
            <sz val="9"/>
            <color indexed="81"/>
            <rFont val="Tahoma"/>
            <family val="2"/>
          </rPr>
          <t xml:space="preserve">
</t>
        </r>
      </text>
    </comment>
    <comment ref="B31" authorId="0" shapeId="0">
      <text>
        <r>
          <rPr>
            <b/>
            <sz val="9"/>
            <color indexed="81"/>
            <rFont val="Tahoma"/>
            <family val="2"/>
          </rPr>
          <t>Tổng hợp theo các nội dung ở Biểu chi tiết Hàng rào</t>
        </r>
        <r>
          <rPr>
            <sz val="9"/>
            <color indexed="81"/>
            <rFont val="Tahoma"/>
            <family val="2"/>
          </rPr>
          <t xml:space="preserve">
</t>
        </r>
      </text>
    </comment>
    <comment ref="B46" authorId="0" shapeId="0">
      <text>
        <r>
          <rPr>
            <b/>
            <sz val="9"/>
            <color indexed="81"/>
            <rFont val="Tahoma"/>
            <family val="2"/>
          </rPr>
          <t xml:space="preserve">Tổng hợp theo các nội dung ở Biểu chi tiết Nhà ở và công trình phụ trợ </t>
        </r>
      </text>
    </comment>
    <comment ref="B53" authorId="0" shapeId="0">
      <text>
        <r>
          <rPr>
            <b/>
            <sz val="9"/>
            <color indexed="81"/>
            <rFont val="Tahoma"/>
            <family val="2"/>
          </rPr>
          <t>Tổng hợp theo các nội dung chi tiết ở Biểu Vườn hộ và công trình chăn nuôi</t>
        </r>
      </text>
    </comment>
    <comment ref="B57" authorId="0" shapeId="0">
      <text>
        <r>
          <rPr>
            <b/>
            <sz val="9"/>
            <color indexed="81"/>
            <rFont val="Tahoma"/>
            <family val="2"/>
          </rPr>
          <t>Tổng hợp theo các nội dung ở Biểu chi tiết Hàng rào</t>
        </r>
        <r>
          <rPr>
            <sz val="9"/>
            <color indexed="81"/>
            <rFont val="Tahoma"/>
            <family val="2"/>
          </rPr>
          <t xml:space="preserve">
</t>
        </r>
      </text>
    </comment>
    <comment ref="B59" authorId="0" shapeId="0">
      <text>
        <r>
          <rPr>
            <b/>
            <sz val="9"/>
            <color indexed="81"/>
            <rFont val="Tahoma"/>
            <family val="2"/>
          </rPr>
          <t>Tổng hợp theo các nội dung ở Biểu chi tiết Hàng rào</t>
        </r>
        <r>
          <rPr>
            <sz val="9"/>
            <color indexed="81"/>
            <rFont val="Tahoma"/>
            <family val="2"/>
          </rPr>
          <t xml:space="preserve">
</t>
        </r>
      </text>
    </comment>
    <comment ref="B73" authorId="0" shapeId="0">
      <text>
        <r>
          <rPr>
            <b/>
            <sz val="9"/>
            <color indexed="81"/>
            <rFont val="Tahoma"/>
            <family val="2"/>
          </rPr>
          <t>Tổng hợp theo các nội dung ở Biểu chi tiết Hàng rào</t>
        </r>
        <r>
          <rPr>
            <sz val="9"/>
            <color indexed="81"/>
            <rFont val="Tahoma"/>
            <family val="2"/>
          </rPr>
          <t xml:space="preserve">
</t>
        </r>
      </text>
    </comment>
    <comment ref="B84" authorId="0" shapeId="0">
      <text>
        <r>
          <rPr>
            <b/>
            <sz val="9"/>
            <color indexed="81"/>
            <rFont val="Tahoma"/>
            <family val="2"/>
          </rPr>
          <t xml:space="preserve">Tổng hợp theo các nội dung ở Biểu chi tiết Nhà ở và công trình phụ trợ </t>
        </r>
      </text>
    </comment>
    <comment ref="B91" authorId="0" shapeId="0">
      <text>
        <r>
          <rPr>
            <b/>
            <sz val="9"/>
            <color indexed="81"/>
            <rFont val="Tahoma"/>
            <family val="2"/>
          </rPr>
          <t>Tổng hợp theo các nội dung chi tiết ở Biểu Vườn hộ và công trình chăn nuôi</t>
        </r>
      </text>
    </comment>
    <comment ref="B95" authorId="0" shapeId="0">
      <text>
        <r>
          <rPr>
            <b/>
            <sz val="9"/>
            <color indexed="81"/>
            <rFont val="Tahoma"/>
            <family val="2"/>
          </rPr>
          <t>Tổng hợp theo các nội dung ở Biểu chi tiết Hàng rào</t>
        </r>
        <r>
          <rPr>
            <sz val="9"/>
            <color indexed="81"/>
            <rFont val="Tahoma"/>
            <family val="2"/>
          </rPr>
          <t xml:space="preserve">
</t>
        </r>
      </text>
    </comment>
    <comment ref="B97" authorId="0" shapeId="0">
      <text>
        <r>
          <rPr>
            <b/>
            <sz val="9"/>
            <color indexed="81"/>
            <rFont val="Tahoma"/>
            <family val="2"/>
          </rPr>
          <t>Tổng hợp theo các nội dung ở Biểu chi tiết Hàng rào</t>
        </r>
        <r>
          <rPr>
            <sz val="9"/>
            <color indexed="81"/>
            <rFont val="Tahoma"/>
            <family val="2"/>
          </rPr>
          <t xml:space="preserve">
</t>
        </r>
      </text>
    </comment>
    <comment ref="B111" authorId="0" shapeId="0">
      <text>
        <r>
          <rPr>
            <b/>
            <sz val="9"/>
            <color indexed="81"/>
            <rFont val="Tahoma"/>
            <family val="2"/>
          </rPr>
          <t>Tổng hợp theo các nội dung ở Biểu chi tiết Hàng rào</t>
        </r>
        <r>
          <rPr>
            <sz val="9"/>
            <color indexed="81"/>
            <rFont val="Tahoma"/>
            <family val="2"/>
          </rPr>
          <t xml:space="preserve">
</t>
        </r>
      </text>
    </comment>
    <comment ref="B136" authorId="0" shapeId="0">
      <text>
        <r>
          <rPr>
            <b/>
            <sz val="9"/>
            <color indexed="81"/>
            <rFont val="Tahoma"/>
            <family val="2"/>
          </rPr>
          <t xml:space="preserve">Tổng hợp theo các nội dung ở Biểu chi tiết Nhà ở và công trình phụ trợ </t>
        </r>
      </text>
    </comment>
    <comment ref="B143" authorId="0" shapeId="0">
      <text>
        <r>
          <rPr>
            <b/>
            <sz val="9"/>
            <color indexed="81"/>
            <rFont val="Tahoma"/>
            <family val="2"/>
          </rPr>
          <t>Tổng hợp theo các nội dung chi tiết ở Biểu Vườn hộ và công trình chăn nuôi</t>
        </r>
      </text>
    </comment>
    <comment ref="B148" authorId="0" shapeId="0">
      <text>
        <r>
          <rPr>
            <b/>
            <sz val="9"/>
            <color indexed="81"/>
            <rFont val="Tahoma"/>
            <family val="2"/>
          </rPr>
          <t>Tổng hợp theo các nội dung ở Biểu chi tiết Hàng rào</t>
        </r>
        <r>
          <rPr>
            <sz val="9"/>
            <color indexed="81"/>
            <rFont val="Tahoma"/>
            <family val="2"/>
          </rPr>
          <t xml:space="preserve">
</t>
        </r>
      </text>
    </comment>
    <comment ref="B150" authorId="0" shapeId="0">
      <text>
        <r>
          <rPr>
            <b/>
            <sz val="9"/>
            <color indexed="81"/>
            <rFont val="Tahoma"/>
            <family val="2"/>
          </rPr>
          <t>Tổng hợp theo các nội dung ở Biểu chi tiết Hàng rào</t>
        </r>
        <r>
          <rPr>
            <sz val="9"/>
            <color indexed="81"/>
            <rFont val="Tahoma"/>
            <family val="2"/>
          </rPr>
          <t xml:space="preserve">
</t>
        </r>
      </text>
    </comment>
    <comment ref="B163" authorId="0" shapeId="0">
      <text>
        <r>
          <rPr>
            <b/>
            <sz val="9"/>
            <color indexed="81"/>
            <rFont val="Tahoma"/>
            <family val="2"/>
          </rPr>
          <t>Tổng hợp theo các nội dung ở Biểu chi tiết Hàng rào</t>
        </r>
        <r>
          <rPr>
            <sz val="9"/>
            <color indexed="81"/>
            <rFont val="Tahoma"/>
            <family val="2"/>
          </rPr>
          <t xml:space="preserve">
</t>
        </r>
      </text>
    </comment>
    <comment ref="B187" authorId="0" shapeId="0">
      <text>
        <r>
          <rPr>
            <b/>
            <sz val="9"/>
            <color indexed="81"/>
            <rFont val="Tahoma"/>
            <family val="2"/>
          </rPr>
          <t xml:space="preserve">Tổng hợp theo các nội dung ở Biểu chi tiết Nhà ở và công trình phụ trợ </t>
        </r>
      </text>
    </comment>
    <comment ref="B193" authorId="0" shapeId="0">
      <text>
        <r>
          <rPr>
            <b/>
            <sz val="9"/>
            <color indexed="81"/>
            <rFont val="Tahoma"/>
            <family val="2"/>
          </rPr>
          <t>Tổng hợp theo các nội dung chi tiết ở Biểu Vườn hộ và công trình chăn nuôi</t>
        </r>
      </text>
    </comment>
    <comment ref="B198" authorId="0" shapeId="0">
      <text>
        <r>
          <rPr>
            <b/>
            <sz val="9"/>
            <color indexed="81"/>
            <rFont val="Tahoma"/>
            <family val="2"/>
          </rPr>
          <t>Tổng hợp theo các nội dung ở Biểu chi tiết Hàng rào</t>
        </r>
        <r>
          <rPr>
            <sz val="9"/>
            <color indexed="81"/>
            <rFont val="Tahoma"/>
            <family val="2"/>
          </rPr>
          <t xml:space="preserve">
</t>
        </r>
      </text>
    </comment>
    <comment ref="B200" authorId="0" shapeId="0">
      <text>
        <r>
          <rPr>
            <b/>
            <sz val="9"/>
            <color indexed="81"/>
            <rFont val="Tahoma"/>
            <family val="2"/>
          </rPr>
          <t>Tổng hợp theo các nội dung ở Biểu chi tiết Hàng rào</t>
        </r>
        <r>
          <rPr>
            <sz val="9"/>
            <color indexed="81"/>
            <rFont val="Tahoma"/>
            <family val="2"/>
          </rPr>
          <t xml:space="preserve">
</t>
        </r>
      </text>
    </comment>
    <comment ref="B212" authorId="0" shapeId="0">
      <text>
        <r>
          <rPr>
            <b/>
            <sz val="9"/>
            <color indexed="81"/>
            <rFont val="Tahoma"/>
            <family val="2"/>
          </rPr>
          <t>Tổng hợp theo các nội dung ở Biểu chi tiết Hàng rào</t>
        </r>
        <r>
          <rPr>
            <sz val="9"/>
            <color indexed="81"/>
            <rFont val="Tahoma"/>
            <family val="2"/>
          </rPr>
          <t xml:space="preserve">
</t>
        </r>
      </text>
    </comment>
    <comment ref="B236" authorId="0" shapeId="0">
      <text>
        <r>
          <rPr>
            <b/>
            <sz val="9"/>
            <color indexed="81"/>
            <rFont val="Tahoma"/>
            <family val="2"/>
          </rPr>
          <t xml:space="preserve">Tổng hợp theo các nội dung ở Biểu chi tiết Nhà ở và công trình phụ trợ </t>
        </r>
      </text>
    </comment>
    <comment ref="B242" authorId="0" shapeId="0">
      <text>
        <r>
          <rPr>
            <b/>
            <sz val="9"/>
            <color indexed="81"/>
            <rFont val="Tahoma"/>
            <family val="2"/>
          </rPr>
          <t>Tổng hợp theo các nội dung chi tiết ở Biểu Vườn hộ và công trình chăn nuôi</t>
        </r>
      </text>
    </comment>
    <comment ref="B247" authorId="0" shapeId="0">
      <text>
        <r>
          <rPr>
            <b/>
            <sz val="9"/>
            <color indexed="81"/>
            <rFont val="Tahoma"/>
            <family val="2"/>
          </rPr>
          <t>Tổng hợp theo các nội dung ở Biểu chi tiết Hàng rào</t>
        </r>
        <r>
          <rPr>
            <sz val="9"/>
            <color indexed="81"/>
            <rFont val="Tahoma"/>
            <family val="2"/>
          </rPr>
          <t xml:space="preserve">
</t>
        </r>
      </text>
    </comment>
    <comment ref="B249" authorId="0" shapeId="0">
      <text>
        <r>
          <rPr>
            <b/>
            <sz val="9"/>
            <color indexed="81"/>
            <rFont val="Tahoma"/>
            <family val="2"/>
          </rPr>
          <t>Tổng hợp theo các nội dung ở Biểu chi tiết Hàng rào</t>
        </r>
        <r>
          <rPr>
            <sz val="9"/>
            <color indexed="81"/>
            <rFont val="Tahoma"/>
            <family val="2"/>
          </rPr>
          <t xml:space="preserve">
</t>
        </r>
      </text>
    </comment>
    <comment ref="B264" authorId="0" shapeId="0">
      <text>
        <r>
          <rPr>
            <b/>
            <sz val="9"/>
            <color indexed="81"/>
            <rFont val="Tahoma"/>
            <family val="2"/>
          </rPr>
          <t>Tổng hợp theo các nội dung ở Biểu chi tiết Hàng rào</t>
        </r>
        <r>
          <rPr>
            <sz val="9"/>
            <color indexed="81"/>
            <rFont val="Tahoma"/>
            <family val="2"/>
          </rPr>
          <t xml:space="preserve">
</t>
        </r>
      </text>
    </comment>
    <comment ref="B289" authorId="0" shapeId="0">
      <text>
        <r>
          <rPr>
            <b/>
            <sz val="9"/>
            <color indexed="81"/>
            <rFont val="Tahoma"/>
            <family val="2"/>
          </rPr>
          <t xml:space="preserve">Tổng hợp theo các nội dung ở Biểu chi tiết Nhà ở và công trình phụ trợ </t>
        </r>
      </text>
    </comment>
    <comment ref="B296" authorId="0" shapeId="0">
      <text>
        <r>
          <rPr>
            <b/>
            <sz val="9"/>
            <color indexed="81"/>
            <rFont val="Tahoma"/>
            <family val="2"/>
          </rPr>
          <t>Tổng hợp theo các nội dung chi tiết ở Biểu Vườn hộ và công trình chăn nuôi</t>
        </r>
      </text>
    </comment>
    <comment ref="B300" authorId="0" shapeId="0">
      <text>
        <r>
          <rPr>
            <b/>
            <sz val="9"/>
            <color indexed="81"/>
            <rFont val="Tahoma"/>
            <family val="2"/>
          </rPr>
          <t>Tổng hợp theo các nội dung ở Biểu chi tiết Hàng rào</t>
        </r>
        <r>
          <rPr>
            <sz val="9"/>
            <color indexed="81"/>
            <rFont val="Tahoma"/>
            <family val="2"/>
          </rPr>
          <t xml:space="preserve">
</t>
        </r>
      </text>
    </comment>
    <comment ref="B302" authorId="0" shapeId="0">
      <text>
        <r>
          <rPr>
            <b/>
            <sz val="9"/>
            <color indexed="81"/>
            <rFont val="Tahoma"/>
            <family val="2"/>
          </rPr>
          <t>Tổng hợp theo các nội dung ở Biểu chi tiết Hàng rào</t>
        </r>
        <r>
          <rPr>
            <sz val="9"/>
            <color indexed="81"/>
            <rFont val="Tahoma"/>
            <family val="2"/>
          </rPr>
          <t xml:space="preserve">
</t>
        </r>
      </text>
    </comment>
    <comment ref="B317" authorId="0" shapeId="0">
      <text>
        <r>
          <rPr>
            <b/>
            <sz val="9"/>
            <color indexed="81"/>
            <rFont val="Tahoma"/>
            <family val="2"/>
          </rPr>
          <t>Tổng hợp theo các nội dung ở Biểu chi tiết Hàng rào</t>
        </r>
        <r>
          <rPr>
            <sz val="9"/>
            <color indexed="81"/>
            <rFont val="Tahoma"/>
            <family val="2"/>
          </rPr>
          <t xml:space="preserve">
</t>
        </r>
      </text>
    </comment>
    <comment ref="B338" authorId="0" shapeId="0">
      <text>
        <r>
          <rPr>
            <b/>
            <sz val="9"/>
            <color indexed="81"/>
            <rFont val="Tahoma"/>
            <family val="2"/>
          </rPr>
          <t xml:space="preserve">Tổng hợp theo các nội dung ở Biểu chi tiết Nhà ở và công trình phụ trợ </t>
        </r>
      </text>
    </comment>
    <comment ref="B345" authorId="0" shapeId="0">
      <text>
        <r>
          <rPr>
            <b/>
            <sz val="9"/>
            <color indexed="81"/>
            <rFont val="Tahoma"/>
            <family val="2"/>
          </rPr>
          <t>Tổng hợp theo các nội dung chi tiết ở Biểu Vườn hộ và công trình chăn nuôi</t>
        </r>
      </text>
    </comment>
    <comment ref="B349" authorId="0" shapeId="0">
      <text>
        <r>
          <rPr>
            <b/>
            <sz val="9"/>
            <color indexed="81"/>
            <rFont val="Tahoma"/>
            <family val="2"/>
          </rPr>
          <t>Tổng hợp theo các nội dung ở Biểu chi tiết Hàng rào</t>
        </r>
        <r>
          <rPr>
            <sz val="9"/>
            <color indexed="81"/>
            <rFont val="Tahoma"/>
            <family val="2"/>
          </rPr>
          <t xml:space="preserve">
</t>
        </r>
      </text>
    </comment>
    <comment ref="B351" authorId="0" shapeId="0">
      <text>
        <r>
          <rPr>
            <b/>
            <sz val="9"/>
            <color indexed="81"/>
            <rFont val="Tahoma"/>
            <family val="2"/>
          </rPr>
          <t>Tổng hợp theo các nội dung ở Biểu chi tiết Hàng rào</t>
        </r>
        <r>
          <rPr>
            <sz val="9"/>
            <color indexed="81"/>
            <rFont val="Tahoma"/>
            <family val="2"/>
          </rPr>
          <t xml:space="preserve">
</t>
        </r>
      </text>
    </comment>
    <comment ref="B365" authorId="0" shapeId="0">
      <text>
        <r>
          <rPr>
            <b/>
            <sz val="9"/>
            <color indexed="81"/>
            <rFont val="Tahoma"/>
            <family val="2"/>
          </rPr>
          <t>Tổng hợp theo các nội dung ở Biểu chi tiết Hàng rào</t>
        </r>
        <r>
          <rPr>
            <sz val="9"/>
            <color indexed="81"/>
            <rFont val="Tahoma"/>
            <family val="2"/>
          </rPr>
          <t xml:space="preserve">
</t>
        </r>
      </text>
    </comment>
    <comment ref="B390" authorId="0" shapeId="0">
      <text>
        <r>
          <rPr>
            <b/>
            <sz val="9"/>
            <color indexed="81"/>
            <rFont val="Tahoma"/>
            <family val="2"/>
          </rPr>
          <t xml:space="preserve">Tổng hợp theo các nội dung ở Biểu chi tiết Nhà ở và công trình phụ trợ </t>
        </r>
      </text>
    </comment>
    <comment ref="B397" authorId="0" shapeId="0">
      <text>
        <r>
          <rPr>
            <b/>
            <sz val="9"/>
            <color indexed="81"/>
            <rFont val="Tahoma"/>
            <family val="2"/>
          </rPr>
          <t>Tổng hợp theo các nội dung chi tiết ở Biểu Vườn hộ và công trình chăn nuôi</t>
        </r>
      </text>
    </comment>
    <comment ref="B401" authorId="0" shapeId="0">
      <text>
        <r>
          <rPr>
            <b/>
            <sz val="9"/>
            <color indexed="81"/>
            <rFont val="Tahoma"/>
            <family val="2"/>
          </rPr>
          <t>Tổng hợp theo các nội dung ở Biểu chi tiết Hàng rào</t>
        </r>
        <r>
          <rPr>
            <sz val="9"/>
            <color indexed="81"/>
            <rFont val="Tahoma"/>
            <family val="2"/>
          </rPr>
          <t xml:space="preserve">
</t>
        </r>
      </text>
    </comment>
    <comment ref="B403" authorId="0" shapeId="0">
      <text>
        <r>
          <rPr>
            <b/>
            <sz val="9"/>
            <color indexed="81"/>
            <rFont val="Tahoma"/>
            <family val="2"/>
          </rPr>
          <t>Tổng hợp theo các nội dung ở Biểu chi tiết Hàng rào</t>
        </r>
        <r>
          <rPr>
            <sz val="9"/>
            <color indexed="81"/>
            <rFont val="Tahoma"/>
            <family val="2"/>
          </rPr>
          <t xml:space="preserve">
</t>
        </r>
      </text>
    </comment>
    <comment ref="B411" authorId="0" shapeId="0">
      <text>
        <r>
          <rPr>
            <b/>
            <sz val="9"/>
            <color indexed="81"/>
            <rFont val="Tahoma"/>
            <family val="2"/>
          </rPr>
          <t>Tổng hợp theo các nội dung ở Biểu chi tiết Hàng rào</t>
        </r>
        <r>
          <rPr>
            <sz val="9"/>
            <color indexed="81"/>
            <rFont val="Tahoma"/>
            <family val="2"/>
          </rPr>
          <t xml:space="preserve">
</t>
        </r>
      </text>
    </comment>
    <comment ref="B429" authorId="0" shapeId="0">
      <text>
        <r>
          <rPr>
            <b/>
            <sz val="9"/>
            <color indexed="81"/>
            <rFont val="Tahoma"/>
            <family val="2"/>
          </rPr>
          <t xml:space="preserve">Tổng hợp theo các nội dung ở Biểu chi tiết Nhà ở và công trình phụ trợ </t>
        </r>
      </text>
    </comment>
    <comment ref="B436" authorId="0" shapeId="0">
      <text>
        <r>
          <rPr>
            <b/>
            <sz val="9"/>
            <color indexed="81"/>
            <rFont val="Tahoma"/>
            <family val="2"/>
          </rPr>
          <t>Tổng hợp theo các nội dung chi tiết ở Biểu Vườn hộ và công trình chăn nuôi</t>
        </r>
      </text>
    </comment>
    <comment ref="B439" authorId="0" shapeId="0">
      <text>
        <r>
          <rPr>
            <b/>
            <sz val="9"/>
            <color indexed="81"/>
            <rFont val="Tahoma"/>
            <family val="2"/>
          </rPr>
          <t>Tổng hợp theo các nội dung ở Biểu chi tiết Hàng rào</t>
        </r>
        <r>
          <rPr>
            <sz val="9"/>
            <color indexed="81"/>
            <rFont val="Tahoma"/>
            <family val="2"/>
          </rPr>
          <t xml:space="preserve">
</t>
        </r>
      </text>
    </comment>
    <comment ref="B441" authorId="0" shapeId="0">
      <text>
        <r>
          <rPr>
            <b/>
            <sz val="9"/>
            <color indexed="81"/>
            <rFont val="Tahoma"/>
            <family val="2"/>
          </rPr>
          <t>Tổng hợp theo các nội dung ở Biểu chi tiết Hàng rào</t>
        </r>
        <r>
          <rPr>
            <sz val="9"/>
            <color indexed="81"/>
            <rFont val="Tahoma"/>
            <family val="2"/>
          </rPr>
          <t xml:space="preserve">
</t>
        </r>
      </text>
    </comment>
    <comment ref="B449" authorId="0" shapeId="0">
      <text>
        <r>
          <rPr>
            <b/>
            <sz val="9"/>
            <color indexed="81"/>
            <rFont val="Tahoma"/>
            <family val="2"/>
          </rPr>
          <t>Tổng hợp theo các nội dung ở Biểu chi tiết Hàng rào</t>
        </r>
        <r>
          <rPr>
            <sz val="9"/>
            <color indexed="81"/>
            <rFont val="Tahoma"/>
            <family val="2"/>
          </rPr>
          <t xml:space="preserve">
</t>
        </r>
      </text>
    </comment>
    <comment ref="B456" authorId="0" shapeId="0">
      <text>
        <r>
          <rPr>
            <b/>
            <sz val="9"/>
            <color indexed="81"/>
            <rFont val="Tahoma"/>
            <family val="2"/>
          </rPr>
          <t>Tổng hợp theo các nội dung ở Biểu chi tiết Hàng rào</t>
        </r>
        <r>
          <rPr>
            <sz val="9"/>
            <color indexed="81"/>
            <rFont val="Tahoma"/>
            <family val="2"/>
          </rPr>
          <t xml:space="preserve">
</t>
        </r>
      </text>
    </comment>
    <comment ref="B476" authorId="0" shapeId="0">
      <text>
        <r>
          <rPr>
            <b/>
            <sz val="9"/>
            <color indexed="81"/>
            <rFont val="Tahoma"/>
            <family val="2"/>
          </rPr>
          <t xml:space="preserve">Tổng hợp theo các nội dung ở Biểu chi tiết Nhà ở và công trình phụ trợ </t>
        </r>
      </text>
    </comment>
    <comment ref="B482" authorId="0" shapeId="0">
      <text>
        <r>
          <rPr>
            <b/>
            <sz val="9"/>
            <color indexed="81"/>
            <rFont val="Tahoma"/>
            <family val="2"/>
          </rPr>
          <t>Tổng hợp theo các nội dung chi tiết ở Biểu Vườn hộ và công trình chăn nuôi</t>
        </r>
      </text>
    </comment>
    <comment ref="B487" authorId="0" shapeId="0">
      <text>
        <r>
          <rPr>
            <b/>
            <sz val="9"/>
            <color indexed="81"/>
            <rFont val="Tahoma"/>
            <family val="2"/>
          </rPr>
          <t>Tổng hợp theo các nội dung ở Biểu chi tiết Hàng rào</t>
        </r>
        <r>
          <rPr>
            <sz val="9"/>
            <color indexed="81"/>
            <rFont val="Tahoma"/>
            <family val="2"/>
          </rPr>
          <t xml:space="preserve">
</t>
        </r>
      </text>
    </comment>
    <comment ref="B490" authorId="0" shapeId="0">
      <text>
        <r>
          <rPr>
            <b/>
            <sz val="9"/>
            <color indexed="81"/>
            <rFont val="Tahoma"/>
            <family val="2"/>
          </rPr>
          <t>Tổng hợp theo các nội dung ở Biểu chi tiết Hàng rào</t>
        </r>
        <r>
          <rPr>
            <sz val="9"/>
            <color indexed="81"/>
            <rFont val="Tahoma"/>
            <family val="2"/>
          </rPr>
          <t xml:space="preserve">
</t>
        </r>
      </text>
    </comment>
    <comment ref="B496" authorId="0" shapeId="0">
      <text>
        <r>
          <rPr>
            <b/>
            <sz val="9"/>
            <color indexed="81"/>
            <rFont val="Tahoma"/>
            <family val="2"/>
          </rPr>
          <t>Tổng hợp theo các nội dung ở Biểu chi tiết Hàng rào</t>
        </r>
        <r>
          <rPr>
            <sz val="9"/>
            <color indexed="81"/>
            <rFont val="Tahoma"/>
            <family val="2"/>
          </rPr>
          <t xml:space="preserve">
</t>
        </r>
      </text>
    </comment>
  </commentList>
</comments>
</file>

<file path=xl/comments2.xml><?xml version="1.0" encoding="utf-8"?>
<comments xmlns="http://schemas.openxmlformats.org/spreadsheetml/2006/main">
  <authors>
    <author>HoangLan</author>
  </authors>
  <commentList>
    <comment ref="B7" authorId="0" shapeId="0">
      <text>
        <r>
          <rPr>
            <b/>
            <sz val="9"/>
            <color indexed="81"/>
            <rFont val="Tahoma"/>
            <family val="2"/>
          </rPr>
          <t xml:space="preserve">Tổng hợp theo các nội dung ở Biểu chi tiết Nhà ở và công trình phụ trợ </t>
        </r>
      </text>
    </comment>
    <comment ref="B14" authorId="0" shapeId="0">
      <text>
        <r>
          <rPr>
            <b/>
            <sz val="9"/>
            <color indexed="81"/>
            <rFont val="Tahoma"/>
            <family val="2"/>
          </rPr>
          <t>Tổng hợp theo các nội dung chi tiết ở Biểu Vườn hộ và công trình chăn nuôi</t>
        </r>
      </text>
    </comment>
    <comment ref="B24" authorId="0" shapeId="0">
      <text>
        <r>
          <rPr>
            <b/>
            <sz val="9"/>
            <color indexed="81"/>
            <rFont val="Tahoma"/>
            <family val="2"/>
          </rPr>
          <t>Tổng hợp theo các nội dung ở Biểu chi tiết Hàng rào</t>
        </r>
        <r>
          <rPr>
            <sz val="9"/>
            <color indexed="81"/>
            <rFont val="Tahoma"/>
            <family val="2"/>
          </rPr>
          <t xml:space="preserve">
</t>
        </r>
      </text>
    </comment>
    <comment ref="B51" authorId="0" shapeId="0">
      <text>
        <r>
          <rPr>
            <b/>
            <sz val="9"/>
            <rFont val="Tahoma"/>
            <family val="2"/>
          </rPr>
          <t>Tổng hợp theo các nội dung chi tiết ở Biểu Vườn hộ và công trình chăn nuôi</t>
        </r>
      </text>
    </comment>
    <comment ref="B58" authorId="0" shapeId="0">
      <text>
        <r>
          <rPr>
            <b/>
            <sz val="9"/>
            <rFont val="Tahoma"/>
            <family val="2"/>
          </rPr>
          <t>Tổng hợp theo các nội dung ở Biểu chi tiết Hàng rào</t>
        </r>
        <r>
          <rPr>
            <sz val="9"/>
            <rFont val="Tahoma"/>
            <family val="2"/>
          </rPr>
          <t xml:space="preserve">
</t>
        </r>
      </text>
    </comment>
    <comment ref="B83" authorId="0" shapeId="0">
      <text>
        <r>
          <rPr>
            <b/>
            <sz val="9"/>
            <rFont val="Tahoma"/>
            <family val="2"/>
          </rPr>
          <t xml:space="preserve">Tổng hợp theo các nội dung ở Biểu chi tiết Nhà ở và công trình phụ trợ </t>
        </r>
      </text>
    </comment>
    <comment ref="B90" authorId="0" shapeId="0">
      <text>
        <r>
          <rPr>
            <b/>
            <sz val="9"/>
            <rFont val="Tahoma"/>
            <family val="2"/>
          </rPr>
          <t>Tổng hợp theo các nội dung chi tiết ở Biểu Vườn hộ và công trình chăn nuôi</t>
        </r>
      </text>
    </comment>
    <comment ref="B98" authorId="0" shapeId="0">
      <text>
        <r>
          <rPr>
            <b/>
            <sz val="9"/>
            <rFont val="Tahoma"/>
            <family val="2"/>
          </rPr>
          <t>Tổng hợp theo các nội dung ở Biểu chi tiết Hàng rào</t>
        </r>
        <r>
          <rPr>
            <sz val="9"/>
            <rFont val="Tahoma"/>
            <family val="2"/>
          </rPr>
          <t xml:space="preserve">
</t>
        </r>
      </text>
    </comment>
  </commentList>
</comments>
</file>

<file path=xl/comments3.xml><?xml version="1.0" encoding="utf-8"?>
<comments xmlns="http://schemas.openxmlformats.org/spreadsheetml/2006/main">
  <authors>
    <author>HoangLan</author>
  </authors>
  <commentList>
    <comment ref="B7" authorId="0" shapeId="0">
      <text>
        <r>
          <rPr>
            <b/>
            <sz val="9"/>
            <rFont val="Tahoma"/>
            <family val="2"/>
          </rPr>
          <t xml:space="preserve">Tổng hợp theo các nội dung ở Biểu chi tiết Nhà ở và công trình phụ trợ </t>
        </r>
      </text>
    </comment>
    <comment ref="B12" authorId="0" shapeId="0">
      <text>
        <r>
          <rPr>
            <b/>
            <sz val="9"/>
            <rFont val="Tahoma"/>
            <family val="2"/>
          </rPr>
          <t>Tổng hợp theo các nội dung chi tiết ở Biểu Vườn hộ và công trình chăn nuôi</t>
        </r>
      </text>
    </comment>
    <comment ref="B16" authorId="0" shapeId="0">
      <text>
        <r>
          <rPr>
            <b/>
            <sz val="9"/>
            <rFont val="Tahoma"/>
            <family val="2"/>
          </rPr>
          <t>Tổng hợp theo các nội dung ở Biểu chi tiết Hàng rào</t>
        </r>
        <r>
          <rPr>
            <sz val="9"/>
            <rFont val="Tahoma"/>
            <family val="2"/>
          </rPr>
          <t xml:space="preserve">
</t>
        </r>
      </text>
    </comment>
    <comment ref="B27" authorId="0" shapeId="0">
      <text>
        <r>
          <rPr>
            <b/>
            <sz val="9"/>
            <rFont val="Tahoma"/>
            <family val="2"/>
          </rPr>
          <t xml:space="preserve">Tổng hợp theo các nội dung ở Biểu chi tiết Nhà ở và công trình phụ trợ </t>
        </r>
      </text>
    </comment>
    <comment ref="B32" authorId="0" shapeId="0">
      <text>
        <r>
          <rPr>
            <b/>
            <sz val="9"/>
            <rFont val="Tahoma"/>
            <family val="2"/>
          </rPr>
          <t>Tổng hợp theo các nội dung chi tiết ở Biểu Vườn hộ và công trình chăn nuôi</t>
        </r>
      </text>
    </comment>
    <comment ref="B36" authorId="0" shapeId="0">
      <text>
        <r>
          <rPr>
            <b/>
            <sz val="9"/>
            <rFont val="Tahoma"/>
            <family val="2"/>
          </rPr>
          <t>Tổng hợp theo các nội dung ở Biểu chi tiết Hàng rào</t>
        </r>
        <r>
          <rPr>
            <sz val="9"/>
            <rFont val="Tahoma"/>
            <family val="2"/>
          </rPr>
          <t xml:space="preserve">
</t>
        </r>
      </text>
    </comment>
    <comment ref="B45" authorId="0" shapeId="0">
      <text>
        <r>
          <rPr>
            <b/>
            <sz val="9"/>
            <rFont val="Tahoma"/>
            <family val="2"/>
          </rPr>
          <t xml:space="preserve">Tổng hợp theo các nội dung ở Biểu chi tiết Nhà ở và công trình phụ trợ </t>
        </r>
      </text>
    </comment>
    <comment ref="B50" authorId="0" shapeId="0">
      <text>
        <r>
          <rPr>
            <b/>
            <sz val="9"/>
            <rFont val="Tahoma"/>
            <family val="2"/>
          </rPr>
          <t>Tổng hợp theo các nội dung chi tiết ở Biểu Vườn hộ và công trình chăn nuôi</t>
        </r>
      </text>
    </comment>
    <comment ref="B54" authorId="0" shapeId="0">
      <text>
        <r>
          <rPr>
            <b/>
            <sz val="9"/>
            <rFont val="Tahoma"/>
            <family val="2"/>
          </rPr>
          <t>Tổng hợp theo các nội dung ở Biểu chi tiết Hàng rào</t>
        </r>
        <r>
          <rPr>
            <sz val="9"/>
            <rFont val="Tahoma"/>
            <family val="2"/>
          </rPr>
          <t xml:space="preserve">
</t>
        </r>
      </text>
    </comment>
    <comment ref="B63" authorId="0" shapeId="0">
      <text>
        <r>
          <rPr>
            <b/>
            <sz val="9"/>
            <rFont val="Tahoma"/>
            <family val="2"/>
          </rPr>
          <t xml:space="preserve">Tổng hợp theo các nội dung ở Biểu chi tiết Nhà ở và công trình phụ trợ </t>
        </r>
      </text>
    </comment>
    <comment ref="B68" authorId="0" shapeId="0">
      <text>
        <r>
          <rPr>
            <b/>
            <sz val="9"/>
            <rFont val="Tahoma"/>
            <family val="2"/>
          </rPr>
          <t>Tổng hợp theo các nội dung chi tiết ở Biểu Vườn hộ và công trình chăn nuôi</t>
        </r>
      </text>
    </comment>
    <comment ref="B72" authorId="0" shapeId="0">
      <text>
        <r>
          <rPr>
            <b/>
            <sz val="9"/>
            <rFont val="Tahoma"/>
            <family val="2"/>
          </rPr>
          <t>Tổng hợp theo các nội dung ở Biểu chi tiết Hàng rào</t>
        </r>
        <r>
          <rPr>
            <sz val="9"/>
            <rFont val="Tahoma"/>
            <family val="2"/>
          </rPr>
          <t xml:space="preserve">
</t>
        </r>
      </text>
    </comment>
    <comment ref="B82" authorId="0" shapeId="0">
      <text>
        <r>
          <rPr>
            <b/>
            <sz val="9"/>
            <rFont val="Tahoma"/>
            <family val="2"/>
          </rPr>
          <t xml:space="preserve">Tổng hợp theo các nội dung ở Biểu chi tiết Nhà ở và công trình phụ trợ </t>
        </r>
      </text>
    </comment>
    <comment ref="B87" authorId="0" shapeId="0">
      <text>
        <r>
          <rPr>
            <b/>
            <sz val="9"/>
            <rFont val="Tahoma"/>
            <family val="2"/>
          </rPr>
          <t>Tổng hợp theo các nội dung chi tiết ở Biểu Vườn hộ và công trình chăn nuôi</t>
        </r>
      </text>
    </comment>
    <comment ref="B91" authorId="0" shapeId="0">
      <text>
        <r>
          <rPr>
            <b/>
            <sz val="9"/>
            <rFont val="Tahoma"/>
            <family val="2"/>
          </rPr>
          <t>Tổng hợp theo các nội dung ở Biểu chi tiết Hàng rào</t>
        </r>
        <r>
          <rPr>
            <sz val="9"/>
            <rFont val="Tahoma"/>
            <family val="2"/>
          </rPr>
          <t xml:space="preserve">
</t>
        </r>
      </text>
    </comment>
    <comment ref="B100" authorId="0" shapeId="0">
      <text>
        <r>
          <rPr>
            <b/>
            <sz val="9"/>
            <rFont val="Tahoma"/>
            <family val="2"/>
          </rPr>
          <t xml:space="preserve">Tổng hợp theo các nội dung ở Biểu chi tiết Nhà ở và công trình phụ trợ </t>
        </r>
      </text>
    </comment>
    <comment ref="B105" authorId="0" shapeId="0">
      <text>
        <r>
          <rPr>
            <b/>
            <sz val="9"/>
            <rFont val="Tahoma"/>
            <family val="2"/>
          </rPr>
          <t>Tổng hợp theo các nội dung chi tiết ở Biểu Vườn hộ và công trình chăn nuôi</t>
        </r>
      </text>
    </comment>
    <comment ref="B109" authorId="0" shapeId="0">
      <text>
        <r>
          <rPr>
            <b/>
            <sz val="9"/>
            <rFont val="Tahoma"/>
            <family val="2"/>
          </rPr>
          <t>Tổng hợp theo các nội dung ở Biểu chi tiết Hàng rào</t>
        </r>
        <r>
          <rPr>
            <sz val="9"/>
            <rFont val="Tahoma"/>
            <family val="2"/>
          </rPr>
          <t xml:space="preserve">
</t>
        </r>
      </text>
    </comment>
    <comment ref="B118" authorId="0" shapeId="0">
      <text>
        <r>
          <rPr>
            <b/>
            <sz val="9"/>
            <rFont val="Tahoma"/>
            <family val="2"/>
          </rPr>
          <t xml:space="preserve">Tổng hợp theo các nội dung ở Biểu chi tiết Nhà ở và công trình phụ trợ </t>
        </r>
      </text>
    </comment>
    <comment ref="B123" authorId="0" shapeId="0">
      <text>
        <r>
          <rPr>
            <b/>
            <sz val="9"/>
            <rFont val="Tahoma"/>
            <family val="2"/>
          </rPr>
          <t>Tổng hợp theo các nội dung chi tiết ở Biểu Vườn hộ và công trình chăn nuôi</t>
        </r>
      </text>
    </comment>
    <comment ref="B127" authorId="0" shapeId="0">
      <text>
        <r>
          <rPr>
            <b/>
            <sz val="9"/>
            <rFont val="Tahoma"/>
            <family val="2"/>
          </rPr>
          <t>Tổng hợp theo các nội dung ở Biểu chi tiết Hàng rào</t>
        </r>
        <r>
          <rPr>
            <sz val="9"/>
            <rFont val="Tahoma"/>
            <family val="2"/>
          </rPr>
          <t xml:space="preserve">
</t>
        </r>
      </text>
    </comment>
    <comment ref="B136" authorId="0" shapeId="0">
      <text>
        <r>
          <rPr>
            <b/>
            <sz val="9"/>
            <rFont val="Tahoma"/>
            <family val="2"/>
          </rPr>
          <t xml:space="preserve">Tổng hợp theo các nội dung ở Biểu chi tiết Nhà ở và công trình phụ trợ </t>
        </r>
      </text>
    </comment>
    <comment ref="B141" authorId="0" shapeId="0">
      <text>
        <r>
          <rPr>
            <b/>
            <sz val="9"/>
            <rFont val="Tahoma"/>
            <family val="2"/>
          </rPr>
          <t>Tổng hợp theo các nội dung chi tiết ở Biểu Vườn hộ và công trình chăn nuôi</t>
        </r>
      </text>
    </comment>
    <comment ref="B145" authorId="0" shapeId="0">
      <text>
        <r>
          <rPr>
            <b/>
            <sz val="9"/>
            <rFont val="Tahoma"/>
            <family val="2"/>
          </rPr>
          <t>Tổng hợp theo các nội dung ở Biểu chi tiết Hàng rào</t>
        </r>
        <r>
          <rPr>
            <sz val="9"/>
            <rFont val="Tahoma"/>
            <family val="2"/>
          </rPr>
          <t xml:space="preserve">
</t>
        </r>
      </text>
    </comment>
    <comment ref="B152" authorId="0" shapeId="0">
      <text>
        <r>
          <rPr>
            <b/>
            <sz val="9"/>
            <rFont val="Tahoma"/>
            <family val="2"/>
          </rPr>
          <t xml:space="preserve">Tổng hợp theo các nội dung ở Biểu chi tiết Nhà ở và công trình phụ trợ </t>
        </r>
      </text>
    </comment>
    <comment ref="B157" authorId="0" shapeId="0">
      <text>
        <r>
          <rPr>
            <b/>
            <sz val="9"/>
            <rFont val="Tahoma"/>
            <family val="2"/>
          </rPr>
          <t>Tổng hợp theo các nội dung chi tiết ở Biểu Vườn hộ và công trình chăn nuôi</t>
        </r>
      </text>
    </comment>
    <comment ref="B161" authorId="0" shapeId="0">
      <text>
        <r>
          <rPr>
            <b/>
            <sz val="9"/>
            <rFont val="Tahoma"/>
            <family val="2"/>
          </rPr>
          <t>Tổng hợp theo các nội dung ở Biểu chi tiết Hàng rào</t>
        </r>
        <r>
          <rPr>
            <sz val="9"/>
            <rFont val="Tahoma"/>
            <family val="2"/>
          </rPr>
          <t xml:space="preserve">
</t>
        </r>
      </text>
    </comment>
  </commentList>
</comments>
</file>

<file path=xl/comments4.xml><?xml version="1.0" encoding="utf-8"?>
<comments xmlns="http://schemas.openxmlformats.org/spreadsheetml/2006/main">
  <authors>
    <author>HoangLan</author>
  </authors>
  <commentList>
    <comment ref="B7" authorId="0" shapeId="0">
      <text>
        <r>
          <rPr>
            <b/>
            <sz val="9"/>
            <color indexed="81"/>
            <rFont val="Tahoma"/>
            <family val="2"/>
          </rPr>
          <t xml:space="preserve">Tổng hợp theo các nội dung ở Biểu chi tiết Nhà ở và công trình phụ trợ </t>
        </r>
      </text>
    </comment>
    <comment ref="B13" authorId="0" shapeId="0">
      <text>
        <r>
          <rPr>
            <b/>
            <sz val="9"/>
            <color indexed="81"/>
            <rFont val="Tahoma"/>
            <family val="2"/>
          </rPr>
          <t>Tổng hợp theo các nội dung chi tiết ở Biểu Vườn hộ và công trình chăn nuôi</t>
        </r>
      </text>
    </comment>
    <comment ref="B16" authorId="0" shapeId="0">
      <text>
        <r>
          <rPr>
            <b/>
            <sz val="9"/>
            <color indexed="81"/>
            <rFont val="Tahoma"/>
            <family val="2"/>
          </rPr>
          <t>Tổng hợp theo các nội dung ở Biểu chi tiết Hàng rào</t>
        </r>
        <r>
          <rPr>
            <sz val="9"/>
            <color indexed="81"/>
            <rFont val="Tahoma"/>
            <family val="2"/>
          </rPr>
          <t xml:space="preserve">
</t>
        </r>
      </text>
    </comment>
    <comment ref="B19" authorId="0" shapeId="0">
      <text>
        <r>
          <rPr>
            <b/>
            <sz val="9"/>
            <color indexed="81"/>
            <rFont val="Tahoma"/>
            <family val="2"/>
          </rPr>
          <t xml:space="preserve">Tổng hợp theo các nội dung ở Biểu chi tiết Nhà ở và công trình phụ trợ </t>
        </r>
      </text>
    </comment>
    <comment ref="B42" authorId="0" shapeId="0">
      <text>
        <r>
          <rPr>
            <b/>
            <sz val="9"/>
            <color indexed="81"/>
            <rFont val="Tahoma"/>
            <family val="2"/>
          </rPr>
          <t xml:space="preserve">Tổng hợp theo các nội dung ở Biểu chi tiết Nhà ở và công trình phụ trợ </t>
        </r>
      </text>
    </comment>
    <comment ref="B50" authorId="0" shapeId="0">
      <text>
        <r>
          <rPr>
            <b/>
            <sz val="9"/>
            <color indexed="81"/>
            <rFont val="Tahoma"/>
            <family val="2"/>
          </rPr>
          <t>Tổng hợp theo các nội dung chi tiết ở Biểu Vườn hộ và công trình chăn nuôi</t>
        </r>
      </text>
    </comment>
    <comment ref="B57" authorId="0" shapeId="0">
      <text>
        <r>
          <rPr>
            <b/>
            <sz val="9"/>
            <color indexed="81"/>
            <rFont val="Tahoma"/>
            <family val="2"/>
          </rPr>
          <t>Tổng hợp theo các nội dung ở Biểu chi tiết Hàng rào</t>
        </r>
        <r>
          <rPr>
            <sz val="9"/>
            <color indexed="81"/>
            <rFont val="Tahoma"/>
            <family val="2"/>
          </rPr>
          <t xml:space="preserve">
</t>
        </r>
      </text>
    </comment>
    <comment ref="B81" authorId="0" shapeId="0">
      <text>
        <r>
          <rPr>
            <b/>
            <sz val="9"/>
            <color indexed="81"/>
            <rFont val="Tahoma"/>
            <family val="2"/>
          </rPr>
          <t xml:space="preserve">Tổng hợp theo các nội dung ở Biểu chi tiết Nhà ở và công trình phụ trợ </t>
        </r>
      </text>
    </comment>
    <comment ref="B91" authorId="0" shapeId="0">
      <text>
        <r>
          <rPr>
            <b/>
            <sz val="9"/>
            <color indexed="81"/>
            <rFont val="Tahoma"/>
            <family val="2"/>
          </rPr>
          <t>Tổng hợp theo các nội dung chi tiết ở Biểu Vườn hộ và công trình chăn nuôi</t>
        </r>
      </text>
    </comment>
    <comment ref="B100" authorId="0" shapeId="0">
      <text>
        <r>
          <rPr>
            <b/>
            <sz val="9"/>
            <color indexed="81"/>
            <rFont val="Tahoma"/>
            <family val="2"/>
          </rPr>
          <t>Tổng hợp theo các nội dung ở Biểu chi tiết Hàng rào</t>
        </r>
        <r>
          <rPr>
            <sz val="9"/>
            <color indexed="81"/>
            <rFont val="Tahoma"/>
            <family val="2"/>
          </rPr>
          <t xml:space="preserve">
</t>
        </r>
      </text>
    </comment>
    <comment ref="B127" authorId="0" shapeId="0">
      <text>
        <r>
          <rPr>
            <b/>
            <sz val="9"/>
            <color indexed="81"/>
            <rFont val="Tahoma"/>
            <family val="2"/>
          </rPr>
          <t xml:space="preserve">Tổng hợp theo các nội dung ở Biểu chi tiết Nhà ở và công trình phụ trợ </t>
        </r>
      </text>
    </comment>
    <comment ref="B135" authorId="0" shapeId="0">
      <text>
        <r>
          <rPr>
            <b/>
            <sz val="9"/>
            <color indexed="81"/>
            <rFont val="Tahoma"/>
            <family val="2"/>
          </rPr>
          <t>Tổng hợp theo các nội dung chi tiết ở Biểu Vườn hộ và công trình chăn nuôi</t>
        </r>
      </text>
    </comment>
    <comment ref="B146" authorId="0" shapeId="0">
      <text>
        <r>
          <rPr>
            <b/>
            <sz val="9"/>
            <color indexed="81"/>
            <rFont val="Tahoma"/>
            <family val="2"/>
          </rPr>
          <t>Tổng hợp theo các nội dung ở Biểu chi tiết Hàng rào</t>
        </r>
        <r>
          <rPr>
            <sz val="9"/>
            <color indexed="81"/>
            <rFont val="Tahoma"/>
            <family val="2"/>
          </rPr>
          <t xml:space="preserve">
</t>
        </r>
      </text>
    </comment>
    <comment ref="B177" authorId="0" shapeId="0">
      <text>
        <r>
          <rPr>
            <b/>
            <sz val="9"/>
            <color indexed="81"/>
            <rFont val="Tahoma"/>
            <family val="2"/>
          </rPr>
          <t xml:space="preserve">Tổng hợp theo các nội dung ở Biểu chi tiết Nhà ở và công trình phụ trợ </t>
        </r>
      </text>
    </comment>
    <comment ref="B185" authorId="0" shapeId="0">
      <text>
        <r>
          <rPr>
            <b/>
            <sz val="9"/>
            <color indexed="81"/>
            <rFont val="Tahoma"/>
            <family val="2"/>
          </rPr>
          <t>Tổng hợp theo các nội dung chi tiết ở Biểu Vườn hộ và công trình chăn nuôi</t>
        </r>
      </text>
    </comment>
    <comment ref="B192" authorId="0" shapeId="0">
      <text>
        <r>
          <rPr>
            <b/>
            <sz val="9"/>
            <color indexed="81"/>
            <rFont val="Tahoma"/>
            <family val="2"/>
          </rPr>
          <t>Tổng hợp theo các nội dung ở Biểu chi tiết Hàng rào</t>
        </r>
        <r>
          <rPr>
            <sz val="9"/>
            <color indexed="81"/>
            <rFont val="Tahoma"/>
            <family val="2"/>
          </rPr>
          <t xml:space="preserve">
</t>
        </r>
      </text>
    </comment>
    <comment ref="B216" authorId="0" shapeId="0">
      <text>
        <r>
          <rPr>
            <b/>
            <sz val="9"/>
            <color indexed="81"/>
            <rFont val="Tahoma"/>
            <family val="2"/>
          </rPr>
          <t xml:space="preserve">Tổng hợp theo các nội dung ở Biểu chi tiết Nhà ở và công trình phụ trợ </t>
        </r>
      </text>
    </comment>
    <comment ref="B223" authorId="0" shapeId="0">
      <text>
        <r>
          <rPr>
            <b/>
            <sz val="9"/>
            <color indexed="81"/>
            <rFont val="Tahoma"/>
            <family val="2"/>
          </rPr>
          <t>Tổng hợp theo các nội dung chi tiết ở Biểu Vườn hộ và công trình chăn nuôi</t>
        </r>
      </text>
    </comment>
    <comment ref="B230" authorId="0" shapeId="0">
      <text>
        <r>
          <rPr>
            <b/>
            <sz val="9"/>
            <color indexed="81"/>
            <rFont val="Tahoma"/>
            <family val="2"/>
          </rPr>
          <t>Tổng hợp theo các nội dung ở Biểu chi tiết Hàng rào</t>
        </r>
        <r>
          <rPr>
            <sz val="9"/>
            <color indexed="81"/>
            <rFont val="Tahoma"/>
            <family val="2"/>
          </rPr>
          <t xml:space="preserve">
</t>
        </r>
      </text>
    </comment>
    <comment ref="B254" authorId="0" shapeId="0">
      <text>
        <r>
          <rPr>
            <b/>
            <sz val="9"/>
            <color indexed="81"/>
            <rFont val="Tahoma"/>
            <family val="2"/>
          </rPr>
          <t xml:space="preserve">Tổng hợp theo các nội dung ở Biểu chi tiết Nhà ở và công trình phụ trợ </t>
        </r>
      </text>
    </comment>
    <comment ref="B261" authorId="0" shapeId="0">
      <text>
        <r>
          <rPr>
            <b/>
            <sz val="9"/>
            <color indexed="81"/>
            <rFont val="Tahoma"/>
            <family val="2"/>
          </rPr>
          <t>Tổng hợp theo các nội dung chi tiết ở Biểu Vườn hộ và công trình chăn nuôi</t>
        </r>
      </text>
    </comment>
    <comment ref="B269" authorId="0" shapeId="0">
      <text>
        <r>
          <rPr>
            <b/>
            <sz val="9"/>
            <color indexed="81"/>
            <rFont val="Tahoma"/>
            <family val="2"/>
          </rPr>
          <t>Tổng hợp theo các nội dung ở Biểu chi tiết Hàng rào</t>
        </r>
        <r>
          <rPr>
            <sz val="9"/>
            <color indexed="81"/>
            <rFont val="Tahoma"/>
            <family val="2"/>
          </rPr>
          <t xml:space="preserve">
</t>
        </r>
      </text>
    </comment>
    <comment ref="B298" authorId="0" shapeId="0">
      <text>
        <r>
          <rPr>
            <b/>
            <sz val="9"/>
            <color indexed="81"/>
            <rFont val="Tahoma"/>
            <family val="2"/>
          </rPr>
          <t xml:space="preserve">Tổng hợp theo các nội dung ở Biểu chi tiết Nhà ở và công trình phụ trợ </t>
        </r>
      </text>
    </comment>
    <comment ref="B305" authorId="0" shapeId="0">
      <text>
        <r>
          <rPr>
            <b/>
            <sz val="9"/>
            <color indexed="81"/>
            <rFont val="Tahoma"/>
            <family val="2"/>
          </rPr>
          <t>Tổng hợp theo các nội dung chi tiết ở Biểu Vườn hộ và công trình chăn nuôi</t>
        </r>
      </text>
    </comment>
    <comment ref="B312" authorId="0" shapeId="0">
      <text>
        <r>
          <rPr>
            <b/>
            <sz val="9"/>
            <color indexed="81"/>
            <rFont val="Tahoma"/>
            <family val="2"/>
          </rPr>
          <t>Tổng hợp theo các nội dung ở Biểu chi tiết Hàng rào</t>
        </r>
        <r>
          <rPr>
            <sz val="9"/>
            <color indexed="81"/>
            <rFont val="Tahoma"/>
            <family val="2"/>
          </rPr>
          <t xml:space="preserve">
</t>
        </r>
      </text>
    </comment>
    <comment ref="B333" authorId="0" shapeId="0">
      <text>
        <r>
          <rPr>
            <b/>
            <sz val="9"/>
            <color indexed="81"/>
            <rFont val="Tahoma"/>
            <family val="2"/>
          </rPr>
          <t xml:space="preserve">Tổng hợp theo các nội dung ở Biểu chi tiết Nhà ở và công trình phụ trợ </t>
        </r>
      </text>
    </comment>
    <comment ref="B340" authorId="0" shapeId="0">
      <text>
        <r>
          <rPr>
            <b/>
            <sz val="9"/>
            <color indexed="81"/>
            <rFont val="Tahoma"/>
            <family val="2"/>
          </rPr>
          <t>Tổng hợp theo các nội dung chi tiết ở Biểu Vườn hộ và công trình chăn nuôi</t>
        </r>
      </text>
    </comment>
    <comment ref="B347" authorId="0" shapeId="0">
      <text>
        <r>
          <rPr>
            <b/>
            <sz val="9"/>
            <color indexed="81"/>
            <rFont val="Tahoma"/>
            <family val="2"/>
          </rPr>
          <t>Tổng hợp theo các nội dung ở Biểu chi tiết Hàng rào</t>
        </r>
        <r>
          <rPr>
            <sz val="9"/>
            <color indexed="81"/>
            <rFont val="Tahoma"/>
            <family val="2"/>
          </rPr>
          <t xml:space="preserve">
</t>
        </r>
      </text>
    </comment>
    <comment ref="B364" authorId="0" shapeId="0">
      <text>
        <r>
          <rPr>
            <b/>
            <sz val="9"/>
            <color indexed="81"/>
            <rFont val="Tahoma"/>
            <family val="2"/>
          </rPr>
          <t xml:space="preserve">Tổng hợp theo các nội dung ở Biểu chi tiết Nhà ở và công trình phụ trợ </t>
        </r>
      </text>
    </comment>
    <comment ref="B370" authorId="0" shapeId="0">
      <text>
        <r>
          <rPr>
            <b/>
            <sz val="9"/>
            <color indexed="81"/>
            <rFont val="Tahoma"/>
            <family val="2"/>
          </rPr>
          <t>Tổng hợp theo các nội dung chi tiết ở Biểu Vườn hộ và công trình chăn nuôi</t>
        </r>
      </text>
    </comment>
    <comment ref="B377" authorId="0" shapeId="0">
      <text>
        <r>
          <rPr>
            <b/>
            <sz val="9"/>
            <color indexed="81"/>
            <rFont val="Tahoma"/>
            <family val="2"/>
          </rPr>
          <t>Tổng hợp theo các nội dung ở Biểu chi tiết Hàng rào</t>
        </r>
        <r>
          <rPr>
            <sz val="9"/>
            <color indexed="81"/>
            <rFont val="Tahoma"/>
            <family val="2"/>
          </rPr>
          <t xml:space="preserve">
</t>
        </r>
      </text>
    </comment>
  </commentList>
</comments>
</file>

<file path=xl/comments5.xml><?xml version="1.0" encoding="utf-8"?>
<comments xmlns="http://schemas.openxmlformats.org/spreadsheetml/2006/main">
  <authors>
    <author>HoangLan</author>
  </authors>
  <commentList>
    <comment ref="B42" authorId="0" shapeId="0">
      <text>
        <r>
          <rPr>
            <b/>
            <sz val="9"/>
            <color indexed="81"/>
            <rFont val="Tahoma"/>
            <family val="2"/>
          </rPr>
          <t xml:space="preserve">Tổng hợp theo các nội dung ở Biểu chi tiết Nhà ở và công trình phụ trợ </t>
        </r>
      </text>
    </comment>
    <comment ref="B48" authorId="0" shapeId="0">
      <text>
        <r>
          <rPr>
            <b/>
            <sz val="9"/>
            <color indexed="81"/>
            <rFont val="Tahoma"/>
            <family val="2"/>
          </rPr>
          <t>Tổng hợp theo các nội dung chi tiết ở Biểu Vườn hộ và công trình chăn nuôi</t>
        </r>
      </text>
    </comment>
    <comment ref="B50" authorId="0" shapeId="0">
      <text>
        <r>
          <rPr>
            <b/>
            <sz val="9"/>
            <color indexed="81"/>
            <rFont val="Tahoma"/>
            <family val="2"/>
          </rPr>
          <t>Tổng hợp theo các nội dung ở Biểu chi tiết Hàng rào</t>
        </r>
        <r>
          <rPr>
            <sz val="9"/>
            <color indexed="81"/>
            <rFont val="Tahoma"/>
            <family val="2"/>
          </rPr>
          <t xml:space="preserve">
</t>
        </r>
      </text>
    </comment>
    <comment ref="B62" authorId="0" shapeId="0">
      <text>
        <r>
          <rPr>
            <b/>
            <sz val="9"/>
            <color indexed="81"/>
            <rFont val="Tahoma"/>
            <family val="2"/>
          </rPr>
          <t xml:space="preserve">Tổng hợp theo các nội dung ở Biểu chi tiết Nhà ở và công trình phụ trợ </t>
        </r>
      </text>
    </comment>
    <comment ref="B68" authorId="0" shapeId="0">
      <text>
        <r>
          <rPr>
            <b/>
            <sz val="9"/>
            <color indexed="81"/>
            <rFont val="Tahoma"/>
            <family val="2"/>
          </rPr>
          <t>Tổng hợp theo các nội dung chi tiết ở Biểu Vườn hộ và công trình chăn nuôi</t>
        </r>
      </text>
    </comment>
    <comment ref="B72" authorId="0" shapeId="0">
      <text>
        <r>
          <rPr>
            <b/>
            <sz val="9"/>
            <color indexed="81"/>
            <rFont val="Tahoma"/>
            <family val="2"/>
          </rPr>
          <t>Tổng hợp theo các nội dung ở Biểu chi tiết Hàng rào</t>
        </r>
        <r>
          <rPr>
            <sz val="9"/>
            <color indexed="81"/>
            <rFont val="Tahoma"/>
            <family val="2"/>
          </rPr>
          <t xml:space="preserve">
</t>
        </r>
      </text>
    </comment>
    <comment ref="B97" authorId="0" shapeId="0">
      <text>
        <r>
          <rPr>
            <b/>
            <sz val="9"/>
            <color indexed="81"/>
            <rFont val="Tahoma"/>
            <family val="2"/>
          </rPr>
          <t xml:space="preserve">Tổng hợp theo các nội dung ở Biểu chi tiết Nhà ở và công trình phụ trợ </t>
        </r>
      </text>
    </comment>
    <comment ref="B102" authorId="0" shapeId="0">
      <text>
        <r>
          <rPr>
            <b/>
            <sz val="9"/>
            <color indexed="81"/>
            <rFont val="Tahoma"/>
            <family val="2"/>
          </rPr>
          <t>Tổng hợp theo các nội dung chi tiết ở Biểu Vườn hộ và công trình chăn nuôi</t>
        </r>
      </text>
    </comment>
    <comment ref="B106" authorId="0" shapeId="0">
      <text>
        <r>
          <rPr>
            <b/>
            <sz val="9"/>
            <color indexed="81"/>
            <rFont val="Tahoma"/>
            <family val="2"/>
          </rPr>
          <t>Tổng hợp theo các nội dung ở Biểu chi tiết Hàng rào</t>
        </r>
        <r>
          <rPr>
            <sz val="9"/>
            <color indexed="81"/>
            <rFont val="Tahoma"/>
            <family val="2"/>
          </rPr>
          <t xml:space="preserve">
</t>
        </r>
      </text>
    </comment>
  </commentList>
</comments>
</file>

<file path=xl/comments6.xml><?xml version="1.0" encoding="utf-8"?>
<comments xmlns="http://schemas.openxmlformats.org/spreadsheetml/2006/main">
  <authors>
    <author>HoangLan</author>
  </authors>
  <commentList>
    <comment ref="B58" authorId="0" shapeId="0">
      <text>
        <r>
          <rPr>
            <b/>
            <sz val="9"/>
            <color indexed="81"/>
            <rFont val="Tahoma"/>
            <family val="2"/>
          </rPr>
          <t xml:space="preserve">Tổng hợp theo các nội dung ở Biểu chi tiết Nhà ở và công trình phụ trợ </t>
        </r>
      </text>
    </comment>
    <comment ref="B64" authorId="0" shapeId="0">
      <text>
        <r>
          <rPr>
            <b/>
            <sz val="9"/>
            <color indexed="81"/>
            <rFont val="Tahoma"/>
            <family val="2"/>
          </rPr>
          <t>Tổng hợp theo các nội dung chi tiết ở Biểu Vườn hộ và công trình chăn nuôi</t>
        </r>
      </text>
    </comment>
    <comment ref="B67" authorId="0" shapeId="0">
      <text>
        <r>
          <rPr>
            <b/>
            <sz val="9"/>
            <color indexed="81"/>
            <rFont val="Tahoma"/>
            <family val="2"/>
          </rPr>
          <t>Tổng hợp theo các nội dung ở Biểu chi tiết Hàng rào</t>
        </r>
        <r>
          <rPr>
            <sz val="9"/>
            <color indexed="81"/>
            <rFont val="Tahoma"/>
            <family val="2"/>
          </rPr>
          <t xml:space="preserve">
</t>
        </r>
      </text>
    </comment>
  </commentList>
</comments>
</file>

<file path=xl/comments7.xml><?xml version="1.0" encoding="utf-8"?>
<comments xmlns="http://schemas.openxmlformats.org/spreadsheetml/2006/main">
  <authors>
    <author>HoangLan</author>
  </authors>
  <commentList>
    <comment ref="B7" authorId="0" shapeId="0">
      <text>
        <r>
          <rPr>
            <b/>
            <sz val="9"/>
            <color indexed="81"/>
            <rFont val="Tahoma"/>
            <family val="2"/>
          </rPr>
          <t xml:space="preserve">Tổng hợp theo các nội dung ở Biểu chi tiết Nhà ở và công trình phụ trợ </t>
        </r>
      </text>
    </comment>
    <comment ref="B13" authorId="0" shapeId="0">
      <text>
        <r>
          <rPr>
            <b/>
            <sz val="9"/>
            <color indexed="81"/>
            <rFont val="Tahoma"/>
            <family val="2"/>
          </rPr>
          <t>Tổng hợp theo các nội dung chi tiết ở Biểu Vườn hộ và công trình chăn nuôi</t>
        </r>
      </text>
    </comment>
    <comment ref="B23" authorId="0" shapeId="0">
      <text>
        <r>
          <rPr>
            <b/>
            <sz val="9"/>
            <color indexed="81"/>
            <rFont val="Tahoma"/>
            <family val="2"/>
          </rPr>
          <t>Tổng hợp theo các nội dung ở Biểu chi tiết Hàng rào</t>
        </r>
        <r>
          <rPr>
            <sz val="9"/>
            <color indexed="81"/>
            <rFont val="Tahoma"/>
            <family val="2"/>
          </rPr>
          <t xml:space="preserve">
</t>
        </r>
      </text>
    </comment>
  </commentList>
</comments>
</file>

<file path=xl/sharedStrings.xml><?xml version="1.0" encoding="utf-8"?>
<sst xmlns="http://schemas.openxmlformats.org/spreadsheetml/2006/main" count="3996" uniqueCount="863">
  <si>
    <t>TT</t>
  </si>
  <si>
    <t>Nội dung tiêu chí cần thực hiện</t>
  </si>
  <si>
    <t>Đã xác định</t>
  </si>
  <si>
    <t>Số tiền</t>
  </si>
  <si>
    <t>Nguồn cấp</t>
  </si>
  <si>
    <t>Chưa xác định</t>
  </si>
  <si>
    <t>ĐVT: Triệu đồng</t>
  </si>
  <si>
    <t>I</t>
  </si>
  <si>
    <t>II</t>
  </si>
  <si>
    <t xml:space="preserve">Kinh phí </t>
  </si>
  <si>
    <t>Tiêu chí Quy hoạch</t>
  </si>
  <si>
    <t>Giao thông</t>
  </si>
  <si>
    <t>Khối lượng</t>
  </si>
  <si>
    <t>Nhà ở và công trình phụ trợ</t>
  </si>
  <si>
    <t>Vườn hộ và công trình chăn nuôi</t>
  </si>
  <si>
    <t>Cắm mốc quy hoạch</t>
  </si>
  <si>
    <t>A</t>
  </si>
  <si>
    <t>XÃ HÀ LINH</t>
  </si>
  <si>
    <t>THÔN 1</t>
  </si>
  <si>
    <t>Xây mới nhà ở đạt chuẩn bộ xây dựng</t>
  </si>
  <si>
    <t>Thay mái (nhà mái tranh)</t>
  </si>
  <si>
    <t>Chỉnh trang công trình phụ trợ</t>
  </si>
  <si>
    <t xml:space="preserve"> -</t>
  </si>
  <si>
    <t>Nhà bếp</t>
  </si>
  <si>
    <t>Nhà tắm</t>
  </si>
  <si>
    <t>Nhà vệ sinh</t>
  </si>
  <si>
    <t>Chỉnh trang vườn hộ</t>
  </si>
  <si>
    <t>Xây dựng vườn mẫu đạt chuẩn</t>
  </si>
  <si>
    <t>Di dời chuồng trại</t>
  </si>
  <si>
    <t>Làm mơí chuồng trại</t>
  </si>
  <si>
    <t>Làm hố phân, rảnh thoát nước; lắp bể bioga</t>
  </si>
  <si>
    <t>III</t>
  </si>
  <si>
    <t>Hàng rào</t>
  </si>
  <si>
    <t xml:space="preserve">Phá bỏ hàng rào tạp, trồng thêm 4680 m hàng rào cây xanh </t>
  </si>
  <si>
    <t xml:space="preserve">Phá bỏ hàng rào tạp, trồng thêm  hàng rào cây xanh </t>
  </si>
  <si>
    <t>IV</t>
  </si>
  <si>
    <t>Đường giao thông (Đường trục thôn)</t>
  </si>
  <si>
    <t>Đường Trục Thôn</t>
  </si>
  <si>
    <t>Đổ bê tông</t>
  </si>
  <si>
    <t>Đắp bổ sung lề đường</t>
  </si>
  <si>
    <t>Dùng máy nạo rảnh thoát nước</t>
  </si>
  <si>
    <t>Trồng cây bóng mát</t>
  </si>
  <si>
    <t>Cắm biển báo giao thông</t>
  </si>
  <si>
    <t>Đường Ngõ Thôn</t>
  </si>
  <si>
    <t>V</t>
  </si>
  <si>
    <t>Nhà văn hóa và khu thể thao</t>
  </si>
  <si>
    <t>Nhà văn hóa</t>
  </si>
  <si>
    <t>a</t>
  </si>
  <si>
    <t>Xây dựng khuôn viên nhà văn hóa: Làm khuôn viên; đổ đất và rào hàng rào dây thép gai</t>
  </si>
  <si>
    <t>b</t>
  </si>
  <si>
    <t>Mua sắm khánh tiết và trang thiết bị</t>
  </si>
  <si>
    <t>Nâng cấp loa trời</t>
  </si>
  <si>
    <t>Mua tủ đựng sách</t>
  </si>
  <si>
    <t>Bổ sung 200 đầu sách vào tủ sách</t>
  </si>
  <si>
    <t>Mua mới 03 bàn chủ tọa;</t>
  </si>
  <si>
    <t>Mua mới 5 ghế băng (4 chỗ ngồi/ghế)</t>
  </si>
  <si>
    <t>Khu thể thao thôn</t>
  </si>
  <si>
    <t>Trồng cây xanh bóng mát</t>
  </si>
  <si>
    <t>Mua sắm dụng cụ thể dục; thể thao</t>
  </si>
  <si>
    <t>Mua sắm thiết bị vui chơi trẻ em</t>
  </si>
  <si>
    <t>VI</t>
  </si>
  <si>
    <t>Hệ thống điện</t>
  </si>
  <si>
    <t>Thay thế cột đỡ dây diện sau công tơ</t>
  </si>
  <si>
    <t>Làm mới HT đường điện thắp sáng</t>
  </si>
  <si>
    <t>VII</t>
  </si>
  <si>
    <t>VIII</t>
  </si>
  <si>
    <t>Vệ sinh môi trường</t>
  </si>
  <si>
    <t>Làm mơi rãnh thoat nước và hố tự thấm</t>
  </si>
  <si>
    <t>Nhân dân đóng góp</t>
  </si>
  <si>
    <t>-</t>
  </si>
  <si>
    <t>Xây mới nhà ở đạt chuẩn</t>
  </si>
  <si>
    <t>Nâng cấp nhà ở đạt chuẩn</t>
  </si>
  <si>
    <t>Che chắn chuồng trại; Làm hố phân, rảnh thoát nước</t>
  </si>
  <si>
    <t>3 bàn chủ tọa</t>
  </si>
  <si>
    <t>Thay cột đỡ sau công tơ 29 hộ (29 cột)</t>
  </si>
  <si>
    <t>Láng nền giếng</t>
  </si>
  <si>
    <t>Di dời, Che chắn chuồng trại; Làm hố phân, rảnh thoát nước</t>
  </si>
  <si>
    <t>THÔN 2</t>
  </si>
  <si>
    <t>THÔN 5</t>
  </si>
  <si>
    <t>Xây mới nhà ở để xóa nhà tạm, dột nát</t>
  </si>
  <si>
    <t>Làm hố phân, rảnh thoát nước</t>
  </si>
  <si>
    <t>Xây dựng khuôn viên nhà văn hóa</t>
  </si>
  <si>
    <t>Xây mới nhà văn hóa</t>
  </si>
  <si>
    <t>Làm rạp che nắng nhà văn hóa</t>
  </si>
  <si>
    <t>Xây dựng nhà vệ sinh tự hoại</t>
  </si>
  <si>
    <t>Xây dựng nhà để xe</t>
  </si>
  <si>
    <t>Làm cột cờ</t>
  </si>
  <si>
    <t>Khánh tiết nhà văn hóa (01 cờ Tổ quốc, 01 cờ Đảng, 01 tượng Bác Hồ, 01 bộ phông màn sân khấu, 02 băng khẩu hiệu)</t>
  </si>
  <si>
    <t>Làm mới 20 ghế băng (4 chỗ ngồi/ghế)</t>
  </si>
  <si>
    <t>Xây dựng viên khu thể thao</t>
  </si>
  <si>
    <t>Làm mới sân bóng chuyền</t>
  </si>
  <si>
    <t>Lập Quy Hoạch xã Hà Linh</t>
  </si>
  <si>
    <t>05 bản đồ</t>
  </si>
  <si>
    <t>Thực hiện công bố điều chỉnh quy hoạch</t>
  </si>
  <si>
    <t>19 bản đồ</t>
  </si>
  <si>
    <t>Xây dựng bản đồ; Cắm mốc Quy hoạch chung xây dựng xã Hà Linh giai đoạn đến năm 2030 với số lượng 800 mốc theo bản đồ cắm mốc; son ve các mốc hư hỏng</t>
  </si>
  <si>
    <t>800 mốc</t>
  </si>
  <si>
    <t>Ngân sách xã</t>
  </si>
  <si>
    <t>Đường trục thôn: Tổng chiều dài có 16,8 km, 8,96/16,8km, đạt 53,3%; còn 7,84km chưa đạt</t>
  </si>
  <si>
    <t>3,65km</t>
  </si>
  <si>
    <t>Ngân sách NN và ND đóng góp</t>
  </si>
  <si>
    <t>Làm mương thoát nước hai bên đường, theo cơ chế hỗ trợ xi măng;</t>
  </si>
  <si>
    <t>2km</t>
  </si>
  <si>
    <t>Đường ngõ xóm: Tổng chiều dài có 70,02km, đạt 55,78/70,02km, đạt 79,62%; còn lại 14,24 km chưa đạt chuẩn</t>
  </si>
  <si>
    <t>Bê tông hóa đường ngõ xóm theo cơ chế hỗ trợ xi măng để đạt chuẩn</t>
  </si>
  <si>
    <t>5,5 km</t>
  </si>
  <si>
    <t>Ngân sách tỉnh, huyện</t>
  </si>
  <si>
    <t>Đường nội đồng: Tổng chiều dài có 19,35 km, đạt chuẩn 8,24 km/19,35km; Đạt 42,58%, còn lại 11,11 km chưa đạt chuẩn</t>
  </si>
  <si>
    <t>Cứng hóa đường trục chính nội đồng theo cơ chế hỗ trợ xi măng để đạt chuẩn</t>
  </si>
  <si>
    <t>11,11 km</t>
  </si>
  <si>
    <t>Tiêu chí CSHT TM Nông thôn</t>
  </si>
  <si>
    <t>Nâng cấp, mở rộng chợ Trạm</t>
  </si>
  <si>
    <t>650</t>
  </si>
  <si>
    <t>300</t>
  </si>
  <si>
    <t>350</t>
  </si>
  <si>
    <t>Nâng cấp cải  tạo đình chợ, nền chợ; xây tường rào, hệ thống cấp thoát nước cấp điện, hệ thống phòng cháy chữa cháy, nhà vệ sinh, khu vực bán thực phẩm tươi sống đảm bảo VSATTP…….</t>
  </si>
  <si>
    <t>Nghị quyết số 51/ NQ-HĐND  ngày 16/12/2021 của HĐND tỉnh</t>
  </si>
  <si>
    <t>Tiêu chí Nhà ở dân cư</t>
  </si>
  <si>
    <t>Xây dựng, nâng cấp nhà ở chưa đạt chuẩn</t>
  </si>
  <si>
    <t>Tiêu chí Môi trường và ATTP</t>
  </si>
  <si>
    <t>Mai táng phù hợp với quy định và theo quy hoạch</t>
  </si>
  <si>
    <t>Lập quy hoạch chi tiết trình phòng chuyên môn thẩm định</t>
  </si>
  <si>
    <t>1 NT</t>
  </si>
  <si>
    <t>Tiến hành sẻ phát, làm đường nội bộ trong nghĩa trang</t>
  </si>
  <si>
    <t>1NT</t>
  </si>
  <si>
    <t>Nạo vét rãnh  thoát nước xung quanh NT</t>
  </si>
  <si>
    <t>Làm cổng ra vào nghĩa trang</t>
  </si>
  <si>
    <t>NS xã</t>
  </si>
  <si>
    <t xml:space="preserve">Trồng cây xanh bóng mát quang khu nghĩa trang </t>
  </si>
  <si>
    <t>Chất thải rắn trên địa bàn và nước thải khu dân cư tập trung, cơ sở sản xuất - kinh doanh được thu gom, xử lý theo quy định.</t>
  </si>
  <si>
    <t>Lập quy hoạch chi tiết bãi trung chuyển rác thải trình phòng chuyên môn thẩm định</t>
  </si>
  <si>
    <t>Thành lập THT môi trường để thu gom vận chuyển rác thải trên địa bàn toàn xã, xây dựng trụ sở làm việc và hoàn thiện các loại hồ sơ liên quan như: Quy chế, điều lệ, Phương án SXKD,…</t>
  </si>
  <si>
    <t>1THT</t>
  </si>
  <si>
    <t>Đầu tư mua sắm trang thiết bị cho THT  môi trường hoạt động có hiệu quả như xe chở rác, xe đẩy, chổi, xẻng, găng tay bảo hộ</t>
  </si>
  <si>
    <t>635/1747 hộ</t>
  </si>
  <si>
    <t>Hộ gia đình</t>
  </si>
  <si>
    <t>670/1256 hộ</t>
  </si>
  <si>
    <t>Tỷ lệ hộ chăn nuôi có chuồng trại chăn nuôi đảm bảo vệ sinh môi trường.</t>
  </si>
  <si>
    <t>394/1.365 hộ</t>
  </si>
  <si>
    <t>Tiêu chí Y tế</t>
  </si>
  <si>
    <t>Cần vận động người dân tham gia bảo hiểm y tế đạt 90%, tương đương với 1.924 người</t>
  </si>
  <si>
    <t>vận động nhân dân</t>
  </si>
  <si>
    <t>Huy động nguồn lực xây dựng nhà làm việc của Trạm y tế 02 tầng</t>
  </si>
  <si>
    <t>Trường học</t>
  </si>
  <si>
    <t>03 trường</t>
  </si>
  <si>
    <t>Trường mầm non</t>
  </si>
  <si>
    <t>02 điểm</t>
  </si>
  <si>
    <t>Trường tiểu học</t>
  </si>
  <si>
    <t xml:space="preserve"> + Điểm chính: Hoàn thành quy hoạch tổng thể; Xây mới 06 phòng hỗ trợ học tập; Xây mới 06 bộ môn và phòng học tập; Mua thiết bị phòng học bộ môn; Sữa chữa cổng trường; Xây dựng khuôn viên, sân chơi bãi tập
  + Điểm Truông Bát: Mở rộng khuôn viên; Xây dựng khối phòng học tập gồm 9 phòng; Mua 60 bộ bàn ghế 2 chổ ngồi; Mua 10 bộ máy tính; 05 bộ thiết bị tối thiểu lớp 1; 02 bộ thiết bị phòng học ngoại ngữ; </t>
  </si>
  <si>
    <t>Ngân sach chi thường xuyên</t>
  </si>
  <si>
    <t>Trường THCS Hà Linh</t>
  </si>
  <si>
    <t>01 điểm</t>
  </si>
  <si>
    <t xml:space="preserve"> + Xây 01 nhà 02 tầng 10 phòng học; Xây mới khối 8 phòng hỡ trợ học; mua thiết bị phòng bộ môn; 90 bộ bàn ghế 02 chỗ ngồi; 06 bộ thiết bị dạy học; Xây nhà vệ sinh giáo viên  </t>
  </si>
  <si>
    <t>IX</t>
  </si>
  <si>
    <t>Tiêu chí Cơ sở vật chất văn hóa</t>
  </si>
  <si>
    <t>Quy hoạch xây dựng 02 phòng chức năng: phòng thư viên, phòng CLB</t>
  </si>
  <si>
    <t>Quy hoạch xây dựng khu thể thao xã</t>
  </si>
  <si>
    <t>05 nhà</t>
  </si>
  <si>
    <t>Xây mới nhà văn hóa thôn 5, 6, 11, 12; Nâng cấp nhà văn hóa thôn 3, 8</t>
  </si>
  <si>
    <t>6 thôn</t>
  </si>
  <si>
    <t>ND đóng góp</t>
  </si>
  <si>
    <t xml:space="preserve">9 thôn </t>
  </si>
  <si>
    <t>10 thôn</t>
  </si>
  <si>
    <t>Xã hội hóa, nguồn NTM</t>
  </si>
  <si>
    <t>X</t>
  </si>
  <si>
    <t>Nguồn thưởng khu mẫu, nguồn chính sách, nhân dân đóng góp</t>
  </si>
  <si>
    <t>c</t>
  </si>
  <si>
    <t>d</t>
  </si>
  <si>
    <t>THÔN 3</t>
  </si>
  <si>
    <t>Làm hố phân, rảnh thoát nước; lắp bể bioga; che chắn chuồng trại</t>
  </si>
  <si>
    <t>Nâng cấp nhà văn hóa</t>
  </si>
  <si>
    <t>Xây nhà để xe</t>
  </si>
  <si>
    <t>Xây dựng công trình vệ sinh tự hoại</t>
  </si>
  <si>
    <t>Mua hệ thống loa trời</t>
  </si>
  <si>
    <t>Mua mới hệ thống âm thanh</t>
  </si>
  <si>
    <t>Mua bục phát biểu</t>
  </si>
  <si>
    <t>Mua bục để tượng bác và tượng bác</t>
  </si>
  <si>
    <t>Mua mới khánh tiết; phông màn; 05 bảng biểu; 02 câu khẩu hiệu dài</t>
  </si>
  <si>
    <t>Xây dựng khuôn viên khu thể thao (kết hợp khuôn viên nhà VH): Làm khuôn viên; đổ đất và rào hàng rào dây thép gai; xây cổng</t>
  </si>
  <si>
    <t>Làm sân bóng chuyền</t>
  </si>
  <si>
    <t>Thay thế dây dẫn sau công tơ 3 hộ (100m)</t>
  </si>
  <si>
    <t>THÔN 4</t>
  </si>
  <si>
    <t>Làm mới nhà ở đạt chuẩn BXD</t>
  </si>
  <si>
    <t>Xây dựng vườn mẫu</t>
  </si>
  <si>
    <t>Xây mới chuồng trại</t>
  </si>
  <si>
    <t>Mua mới  01 bộ âm thanh;</t>
  </si>
  <si>
    <t>Mua mới bộ loa trời</t>
  </si>
  <si>
    <t>Mua tủ sách</t>
  </si>
  <si>
    <t>Bục để phát biểu</t>
  </si>
  <si>
    <t>Bục để tượng bác</t>
  </si>
  <si>
    <t>Xây dựng khuôn viên (kết hợp khuôn viên NVH)</t>
  </si>
  <si>
    <t>Làm sân bóng đá</t>
  </si>
  <si>
    <t>XÃ HƯƠNG LIÊN</t>
  </si>
  <si>
    <t>Xây dựng nhà ở đạt chuẩn</t>
  </si>
  <si>
    <t>Vườn hộ</t>
  </si>
  <si>
    <t xml:space="preserve">Hỗ trợ giống cây bưởi </t>
  </si>
  <si>
    <t>Công trình chăn nuôi</t>
  </si>
  <si>
    <t>Chuồng trại cần nâng cấp, di dời</t>
  </si>
  <si>
    <t>+</t>
  </si>
  <si>
    <t>Nâng cấp chuồng trại</t>
  </si>
  <si>
    <t>Xây hố chứa phân</t>
  </si>
  <si>
    <t>Trồng hàng rào xanh</t>
  </si>
  <si>
    <t>Hỗ trợ cọc bê tông</t>
  </si>
  <si>
    <t>Hỗ trợ dây thép gai</t>
  </si>
  <si>
    <t>Đường giao thông</t>
  </si>
  <si>
    <t>Đổ bê tông mở rộng hành lang giao thông</t>
  </si>
  <si>
    <t>Bê tông hóa đường ngõ xóm</t>
  </si>
  <si>
    <t>Làm kè lề đường</t>
  </si>
  <si>
    <t>Làm rãnh thoát nước bê tông</t>
  </si>
  <si>
    <t>Bê tông hóa ngõ hộ</t>
  </si>
  <si>
    <t>Lắp đặt biển báo đường trục thôn.</t>
  </si>
  <si>
    <t>Nhà văn hóa và khu thể thao thôn</t>
  </si>
  <si>
    <t>Sơn lại nhà văn hóa</t>
  </si>
  <si>
    <t>Làm nhà vệ sinh tự hoại</t>
  </si>
  <si>
    <t>Mua bồn nước</t>
  </si>
  <si>
    <t>Bổ sung hệ thống bồn hoa, cây cảnh</t>
  </si>
  <si>
    <t>Mua bổ sung hệ thống bảng biểu trong nhà văn hóa</t>
  </si>
  <si>
    <t>Lắp hệ thống điện chiếu sáng các tuyến đường</t>
  </si>
  <si>
    <t>Làm hệ thống tự thấm hoặc xây rãnh thoát nước thải hộ gia đình HVS</t>
  </si>
  <si>
    <t>Hỗ trợ ca máy giải tỏa các vườn hộ</t>
  </si>
  <si>
    <t>Hỗ trợ giống cây bưởi</t>
  </si>
  <si>
    <t>Sơn lại nhà hội quán</t>
  </si>
  <si>
    <t xml:space="preserve">Xóa nhà tạm </t>
  </si>
  <si>
    <t xml:space="preserve">Nâng cấp nhà ở đạt chuẩn </t>
  </si>
  <si>
    <t>Xây hố phân, che chắn, hố xử lý nước thải, vệ sinh môi trường</t>
  </si>
  <si>
    <t>Hỗ trợ vật liệu tre, thép buộc làm hàng rào</t>
  </si>
  <si>
    <t>Đường trục thôn</t>
  </si>
  <si>
    <t>Bê tông hóa đường trục thôn đảm bảo</t>
  </si>
  <si>
    <t>Đắp bù lề</t>
  </si>
  <si>
    <t>Lắp đặt biển báo đường trục thôn</t>
  </si>
  <si>
    <t>Đường ngõ xóm</t>
  </si>
  <si>
    <t>Sơn lại hệ thống cửa</t>
  </si>
  <si>
    <t>Nâng cấp giếng nước</t>
  </si>
  <si>
    <t>Xóa nhà tạm</t>
  </si>
  <si>
    <t xml:space="preserve">Xây dựng vườn mẫu </t>
  </si>
  <si>
    <t>Che chăn, xây hố phân, hố xử lý nước thải, vệ sinh môi trường</t>
  </si>
  <si>
    <t>Đường Trục thôn</t>
  </si>
  <si>
    <t>Đường Ngõ xóm</t>
  </si>
  <si>
    <t xml:space="preserve">Đắp bù lề </t>
  </si>
  <si>
    <t>Lắp đặt biển báo.</t>
  </si>
  <si>
    <t xml:space="preserve"> Trồng bổ sung hàng rào xanh</t>
  </si>
  <si>
    <t>Làm 2 cầu gôn sân bóng</t>
  </si>
  <si>
    <t>Kinh phí</t>
  </si>
  <si>
    <t>THÔN 6</t>
  </si>
  <si>
    <t>Làm giàn mát che nắng nhà văn hóa</t>
  </si>
  <si>
    <t>Nâng cấp loa trời và mua hệ thống loa</t>
  </si>
  <si>
    <t>THÔN 7</t>
  </si>
  <si>
    <t>Làm giếng nước</t>
  </si>
  <si>
    <t>Khánh tiết nhà văn hóa (02 băng khẩu hiệu; 01 maket hội trường)</t>
  </si>
  <si>
    <t>Thay cột đỡ sau công tơ 27 hộ (tương đương 27 cột)</t>
  </si>
  <si>
    <t>Thay dây dẫn sau công tơ 16 hộ (tương ứng 300m)</t>
  </si>
  <si>
    <t>THÔN 8</t>
  </si>
  <si>
    <t xml:space="preserve">Phá bỏ hàng rào tạp, trồng  hàng rào cây xanh </t>
  </si>
  <si>
    <t>Làm mái che nắng nhà văn hóa (kết hợp nhà để xe)</t>
  </si>
  <si>
    <t>Mua hệ thống âm thanh bên trong và loa trời</t>
  </si>
  <si>
    <t>Mua sắm thiết bị vui chơi cho người gia và trẻ em</t>
  </si>
  <si>
    <t xml:space="preserve">Mua bổ sung các dụng cụ thể thao: 01 Lưới bóng chuyền da, 01 lưới bóng chuyền hơi, 01 bộ vợt cầu lông </t>
  </si>
  <si>
    <t>Thay dây dẫn phía sau công tơ 33 hộ (300m)</t>
  </si>
  <si>
    <t>Thay cột đỡ phia sau công tơ</t>
  </si>
  <si>
    <t>Lắp mới hệ thống điện chiếu sáng tại các tuyến đường</t>
  </si>
  <si>
    <t>Làm lại giếng nước</t>
  </si>
  <si>
    <t>THÔN 10</t>
  </si>
  <si>
    <t>Thay cột đỡ sau công tơ 40 hộ (tương đương 52 cột)</t>
  </si>
  <si>
    <t>Thay dây dẫn sau công tơ 20 hộ (tương ứng 600m)</t>
  </si>
  <si>
    <t>Láng nền giếng; sữa chữa giếng</t>
  </si>
  <si>
    <t>THÔN 11</t>
  </si>
  <si>
    <t>Xây mới nhà ở đạt chuẩn Bộ XD</t>
  </si>
  <si>
    <t>Che chăn chuồng trại; Làm hố phân; Xử lý nước thải</t>
  </si>
  <si>
    <t xml:space="preserve">Cần trồng thêm 12.220 m hàng rào cây xanh </t>
  </si>
  <si>
    <t>Làm mới đường giao thông</t>
  </si>
  <si>
    <t xml:space="preserve">đắp lề đường đảm bảo </t>
  </si>
  <si>
    <t xml:space="preserve">Cắm mốc quy hoạch </t>
  </si>
  <si>
    <t>Bổ sung biển báo giao thông</t>
  </si>
  <si>
    <t>Trồng bổ sung cây bóng mát hai bên đường trục thôn: 1,450 km (tương ứng 60 cây).</t>
  </si>
  <si>
    <t>Xây dựng nhà vệ sinh</t>
  </si>
  <si>
    <t xml:space="preserve"> Mua sắm lại hệ thống khánh tiết bên trong; lắp đặt 05 bảng biểu</t>
  </si>
  <si>
    <t>Mua 8 ghế băng dài</t>
  </si>
  <si>
    <t>Thay dây dẫn phía sau công tơ 10 hộ (100m)</t>
  </si>
  <si>
    <t>Làm mơi rãnh thoat nước tại các hộ dân</t>
  </si>
  <si>
    <t>Nâng cấp giếng</t>
  </si>
  <si>
    <t>THÔN 12</t>
  </si>
  <si>
    <t>Di dời, che chắn chuồng trại</t>
  </si>
  <si>
    <t>Làm hố phân</t>
  </si>
  <si>
    <t>Làm rãnh thoat nước</t>
  </si>
  <si>
    <t>Cần trồng thêm 1.040 m hàng rào cây xanh để đạt chuẩn</t>
  </si>
  <si>
    <t>Hỗ trợ ca máy làm mặt bằng</t>
  </si>
  <si>
    <t>Trồng bổ sung cây xanh bóng mát hai bên đường</t>
  </si>
  <si>
    <t>Nâng cấp đường giao thông</t>
  </si>
  <si>
    <t>Đắp lề đường</t>
  </si>
  <si>
    <t>Xây dựng khuôn viên khu thể thao và nhà văn hóa</t>
  </si>
  <si>
    <t>Xây dựng nhà văn hóa</t>
  </si>
  <si>
    <t>Mua sắm dụng cụ thể thao</t>
  </si>
  <si>
    <t>Mua mới 01 bàn chủ tọa;</t>
  </si>
  <si>
    <t>02 bàn dài phía trên</t>
  </si>
  <si>
    <t xml:space="preserve">Phá bỏ hàng rào tạp, trồng thêm hàng rào cây xanh </t>
  </si>
  <si>
    <t>Di dời, Nâng cấp lại chuồng trại</t>
  </si>
  <si>
    <t xml:space="preserve">Đường giao thông </t>
  </si>
  <si>
    <t>Làm mới nhà ở đạt chuẩn</t>
  </si>
  <si>
    <t>VIIII</t>
  </si>
  <si>
    <t>Đường ngõ thôn</t>
  </si>
  <si>
    <t>XI</t>
  </si>
  <si>
    <t>TỔNG HỢP KHỐI LƯỢNG, NGUỒN LỰC THỰC HIỆN TẠI CÁC THÔN THUỘC XÃ HÀ LINH</t>
  </si>
  <si>
    <t>Tổng</t>
  </si>
  <si>
    <t>Nguồn NTM</t>
  </si>
  <si>
    <t>Tỷ lệ hộ có nhà tiêu, nhà tắm, bể chứa nước sinh hoạt đạt vệ sinh và đảm bảo 3 sạch.</t>
  </si>
  <si>
    <t>1 nhà</t>
  </si>
  <si>
    <t>Qua điều tra: Đến nay đã có 1112/1747 hộ gia đình đã có nhà tiêu HVS; Còn lại 635 hộ nhà tiêu chưa HVS.</t>
  </si>
  <si>
    <t xml:space="preserve">Qua kết quả rà soát: Đến nay đã có 971/1.365  hộ chăn nuôi HVS.Còn lại 394 hộ gia đình chăn nuôi chưa HVS. </t>
  </si>
  <si>
    <t>TỔNG HỢP KHỐI LƯỢNG, NGUỒN LỰC THỰC HIỆN ĐẠT CHUẨN TIÊU CHÍ NTM XÃ HÀ LINH</t>
  </si>
  <si>
    <t>Thủy lợi</t>
  </si>
  <si>
    <t>3km</t>
  </si>
  <si>
    <t>XÃ HƯƠNG THỦY</t>
  </si>
  <si>
    <t>Di dời công trình chăn nuôi</t>
  </si>
  <si>
    <t>Che chắn chuồng trại</t>
  </si>
  <si>
    <t xml:space="preserve">Trồng hàng rào xanh </t>
  </si>
  <si>
    <t>Cọc hàng rào</t>
  </si>
  <si>
    <t>Thép gai</t>
  </si>
  <si>
    <t>Máy đào giải tỏa hành lang giao thông</t>
  </si>
  <si>
    <t>Lắp đặt mới đường điện thắp sáng đường quê</t>
  </si>
  <si>
    <t>Che chắn chuồng trại, xây dựng hố phân</t>
  </si>
  <si>
    <t>Trồng hàng rào xanh (chè tàu)</t>
  </si>
  <si>
    <t>Mua 01 tivi</t>
  </si>
  <si>
    <t xml:space="preserve">Hệ thống điện </t>
  </si>
  <si>
    <t>Lắp đặt điện chiếu sáng làng quê</t>
  </si>
  <si>
    <t>Xây hố tự thấm</t>
  </si>
  <si>
    <t>Nhà nâng cấp</t>
  </si>
  <si>
    <t>Làm mới đường bê tông</t>
  </si>
  <si>
    <t>Mua mới ti vi</t>
  </si>
  <si>
    <t xml:space="preserve">Nâng cấp, làm mới nhà ở đạt chuẩn </t>
  </si>
  <si>
    <t>Nâng cấp hố phân</t>
  </si>
  <si>
    <t>Làm hố thu gom nước thải</t>
  </si>
  <si>
    <t xml:space="preserve">Trồng hàng rào xanh (chè tàu, hoa dâm bụt) </t>
  </si>
  <si>
    <t>Hàng rào cọc bê tông</t>
  </si>
  <si>
    <t>Đất đắp bù nền đường 1 tuyến với chiều dài 0,4km</t>
  </si>
  <si>
    <t>Máy đào giải tỏa hành lang giao thông, đào rãnh thoát nước</t>
  </si>
  <si>
    <t xml:space="preserve">Bê tông hóa đường trục thôn </t>
  </si>
  <si>
    <t>Bê tông hóa đường ngõ xóm 03 tuyến</t>
  </si>
  <si>
    <t>Làm mới 6 dãy ghế băng</t>
  </si>
  <si>
    <t xml:space="preserve">Làm cọc bê tông, kéo dây thép gai </t>
  </si>
  <si>
    <t>Làm mới công trình vệ sinh tự họa</t>
  </si>
  <si>
    <t>Mua sắm xà đơn, xà kép, cầu trượt, xích đu</t>
  </si>
  <si>
    <t>Xây mương thoát nước, hố tự thấm</t>
  </si>
  <si>
    <t>THÔN 9</t>
  </si>
  <si>
    <t>Đắp bổ sung lề</t>
  </si>
  <si>
    <t>Làm rãnh thoát nước</t>
  </si>
  <si>
    <t>Biển hạn chế tại trọng, nút giao</t>
  </si>
  <si>
    <t>Mua 1 ti vi</t>
  </si>
  <si>
    <t>Hổ thấm xứ lý nước thái SH</t>
  </si>
  <si>
    <t>Che chắn, nâng cấp chuồng trại</t>
  </si>
  <si>
    <t>Che chắn, di dời chuồng trại</t>
  </si>
  <si>
    <t>XÃ HƯƠNG BÌNH</t>
  </si>
  <si>
    <t>THÔN BÌNH HƯNG</t>
  </si>
  <si>
    <t>Trồng bổ sung cây ăn quả (Bưởi Phúc Trạch cho 108 vườn)</t>
  </si>
  <si>
    <t>Cải tạo vườn tạp bằng máy (30 vườn)</t>
  </si>
  <si>
    <t>Di dời chuồng trại (4 chuồng)</t>
  </si>
  <si>
    <t>Sửa lại chuồng (8 chuồng)</t>
  </si>
  <si>
    <t>Xây hố phân</t>
  </si>
  <si>
    <t>Xây hố tự thấm nước thải</t>
  </si>
  <si>
    <t>Hỗ trợ cọc bê tông, dây thép gai</t>
  </si>
  <si>
    <t>Trồng mới hàng rào cây xanh</t>
  </si>
  <si>
    <t>Đắp lề (0,441Km)</t>
  </si>
  <si>
    <t xml:space="preserve"> Đắp đất bù lề, mở rộng đường ( 0,644Km)</t>
  </si>
  <si>
    <t>Làm cổng nhà văn hoá</t>
  </si>
  <si>
    <t>Mua bàn đại biểu</t>
  </si>
  <si>
    <t>Mua ti vi</t>
  </si>
  <si>
    <t>Điện chiếu sáng đường trục thôn</t>
  </si>
  <si>
    <t>Điện chiếu sáng ngõ xóm</t>
  </si>
  <si>
    <t>Xây rảnh thoát nước thải</t>
  </si>
  <si>
    <t xml:space="preserve"> - </t>
  </si>
  <si>
    <t>Nội dung cần thực hiện để đạt chuẩn tiêu chí</t>
  </si>
  <si>
    <t>Trong đó</t>
  </si>
  <si>
    <t>TỔNG CỘNG</t>
  </si>
  <si>
    <t>Quy hoạch</t>
  </si>
  <si>
    <t xml:space="preserve">Nguồn nông thôn mới </t>
  </si>
  <si>
    <t>14 bản đồ</t>
  </si>
  <si>
    <t>3 bản đồ</t>
  </si>
  <si>
    <t>1000 mốc</t>
  </si>
  <si>
    <t>2.1</t>
  </si>
  <si>
    <t>Đường trục xã (Đạt 8.611/11.111 km = 77 %)</t>
  </si>
  <si>
    <t>Bê tông hóa tuyến đường trục xã TX 04 từ cửa ông Cơ đến cửa ông Ngân</t>
  </si>
  <si>
    <t>2,5km</t>
  </si>
  <si>
    <t>Giải tỏa hành lang, đắp lề đường, mở rộng nền đường tuyến đường trục xã  đảm bảo đạt chuẩn. Cụ thể các tuyến: TX 01, TX 02, TX 03</t>
  </si>
  <si>
    <t>8,611km</t>
  </si>
  <si>
    <t>2.2</t>
  </si>
  <si>
    <t>Đường trục thôn  (Đạt 3.945/5.585 km = 70.63%)</t>
  </si>
  <si>
    <t xml:space="preserve">Bê tông hóa các tuyến đường trục thôn đã xuống cấp đảm bảo đạt chuẩn theo quy định (B nền=5m. B mặt = 3m). </t>
  </si>
  <si>
    <t>1,64km</t>
  </si>
  <si>
    <t>Theo cơ chế hỗ trợ xi măng ngân sách tỉnh. ngân sách huyện. ngân sách xã và nhân dân đóng góp</t>
  </si>
  <si>
    <t>Thực hiện giải phóng mặt bằng, mở rộng nền đường, đắp lề các tuyến đường chưa đạt chuẩn (Mở rộng nền đường từ 4m lên 5m)</t>
  </si>
  <si>
    <t>1,048km</t>
  </si>
  <si>
    <t>Thực hiện sẻ phát hành lang đường đảm bảo cảnh quan, lề đường thông thoáng</t>
  </si>
  <si>
    <t>2.3</t>
  </si>
  <si>
    <t>Đường ngõ xóm (Đạt 5.21/6.6 km = 78.94 %)</t>
  </si>
  <si>
    <t>Bê tông hóa các tuyến đường ngõ xóm đảm bảo đạt chuẩn theo quy định (B nền=5m. B mặt = 3m). Cụ thể các tuyến</t>
  </si>
  <si>
    <t>1,39km</t>
  </si>
  <si>
    <t>Thực hiện giải phóng mặt bằng mở rộng nền đường từ 4m lên 5m của  các tuyến đường ngõ xóm chưa đảm bảo</t>
  </si>
  <si>
    <t>0,25km</t>
  </si>
  <si>
    <t>2.4</t>
  </si>
  <si>
    <t>Đường nội đồng (Đạt 6,37/8,32km = 76.48 %)</t>
  </si>
  <si>
    <t>Bê tông hóa hoặc cứng hóa  các tuyến đường nội đồng đảm bảo đạt chuẩn theo quy định.</t>
  </si>
  <si>
    <t>1,95km</t>
  </si>
  <si>
    <t>Thực hiện giải phóng mặt bằng mở rộng nền đường từ 4m lên 5m các tuyến đường trục chính nội đồng có chiều rộng mặt đường chưa đảm bảo</t>
  </si>
  <si>
    <t>1,23km</t>
  </si>
  <si>
    <t>2.5</t>
  </si>
  <si>
    <t xml:space="preserve">Rãnh thoát nước trục xã và trục thôn trong khu dân cư </t>
  </si>
  <si>
    <t>Bê Tông hóa rãnh thoát nước các tuyến đường trục xã, trục thôn đi qua khu dân cư đảm bảo đạt chuẩn</t>
  </si>
  <si>
    <t>2,5 km</t>
  </si>
  <si>
    <t>Theo cơ chế hỗ trợ xi măng ngân sách tỉnh, ngân sách huyện, ngân sách xã và nhân dân đóng góp</t>
  </si>
  <si>
    <t>Thường xuyên nạo vét, sẻ phát hành lang các tuyến kênh do xã quản lý. Nâng cấp hệ thống kênh mương, nạo vét lòng hồ, sữa chữa  cổng đập Cây Kè, Khe Vạng</t>
  </si>
  <si>
    <t>9,5km kênh mương, 02 công trình hồ đập</t>
  </si>
  <si>
    <t>02 trường</t>
  </si>
  <si>
    <t>4.1</t>
  </si>
  <si>
    <t>01 trường</t>
  </si>
  <si>
    <t>Nâng cấp dãy nhà hành chính quản trị dài 15m, rộng 8,5m, cao 3,6m (01 phòng hiệu phó, 01 phòng y tế, 01 phòng nhân viên, 01 phòng kế toán) bao gồm: thay mái, nâng cấp nền, sơn lại hệ thống cửa, sơn lại toàn bộ, da trát một số điểm</t>
  </si>
  <si>
    <t>04 phòng</t>
  </si>
  <si>
    <t>Nâng cấp dãy nhà phục vụ học tập dài 15m, rộng 8,5m, cao 3,6m (01 phòng âm nhạc, 01 phòng kho) bao gồm: thay mái, sơn lại hệ thống cửa, sơn lại toàn bộ, da trát một số điểm, làm 20m2 trần nhà</t>
  </si>
  <si>
    <t xml:space="preserve">02 phòng </t>
  </si>
  <si>
    <t>4.2</t>
  </si>
  <si>
    <t>Tu sửa, nâng cấp dãy nhà 2 tầng 8 phòng học (Nhà A) (dài 36m, rộng 8,5m, cao: 7,2m) bao gồm các hạng mục: đục tẩy, da trát lại một số điểm; sơn lại toàn bộ; thay gạch nền, thay mái, thay kính cửa, sơn lại toàn bộ hệ thống cửa</t>
  </si>
  <si>
    <t>8 phòng</t>
  </si>
  <si>
    <t>Tu sửa, nâng cấp dãy nhà 2 tầng 6 phòng học (Nhà B) (dài 28m, rộng 8,5m, cao: 7,2m) bao gồm các hạng mục: đục tẩy, da trát lại một số điểm; sơn lại toàn bộ; thay gạch nền, thay mái, thay kính cửa, sơn lại toàn bộ hệ thống cửa</t>
  </si>
  <si>
    <t>6 phòng</t>
  </si>
  <si>
    <t xml:space="preserve">Xây dựng nhà vệ sinh </t>
  </si>
  <si>
    <t>30m2</t>
  </si>
  <si>
    <t>Lát gạch hoặc đổ bê tông sân trường (dài 40m, rộng 32m)</t>
  </si>
  <si>
    <t>1280m2</t>
  </si>
  <si>
    <t xml:space="preserve">Nâng cấp, sữa chữa nhà văn hóa xã, chỉnh trang khuôn viên nhà văn hóa xã, nâng cấp dãy nhà hai tầng UBND, xây mới thêm 01 dãy nhà UBND xã 2 tầng 8 phòng. </t>
  </si>
  <si>
    <t xml:space="preserve"> Mở rộng nhà để xe, nâng cấp nhà vệ sinh tự hoại, bố trí các phòng hành chính, phòng đọc thư viện (có tủ hoặc giá sách tối thiểu 1000 cuốn không kể báo, tạp chí..., tối thiểu 04 máy tính kết nối Internet, có bàn đọc, ghế ngồi từ 15 chỗ trở lên), phòng thông tin truyền thanh, phòng sinh hoạt câu lạc bộ, phòng truyền thống.</t>
  </si>
  <si>
    <t>Làm cổng, hàng rào sân thể thao, trồng cây bóng mát khuôn viên sân thể thao xã</t>
  </si>
  <si>
    <t>1 sân</t>
  </si>
  <si>
    <t>Nâng cấp, chỉnh trang lại điểm vui chơi giải trí và thể thao cho trẻ em và người già; trồng bổ sung cây bóng mát, hàng rào cây xanh; bổ sung bồn hoa cây cảnh, dụng cụ vui chơi</t>
  </si>
  <si>
    <t>Tiêu chí Cơ sở hạ tầng thương mại nông thôn</t>
  </si>
  <si>
    <t>Xây dựng 4/9 cửa hàng đạt chuẩn theo quy định: Sắp xếp hàng hóa thuận tiện, khoa học, đảm bảo an toàn thực phẩm, duy trì và phát huy quầy bán hàng nông sản địa phương, niêm yết giá bán sản phẩm đúng giá thị trường.</t>
  </si>
  <si>
    <t>4 cửa hàng</t>
  </si>
  <si>
    <t>Tiếp tục tuyên truyền, vận động các cửa hàng còn lại xây dựng kế hoạch, lộ trình, thực hiện nâng cấp đạt chuẩn theo quy định.</t>
  </si>
  <si>
    <t>5 cửa hàng</t>
  </si>
  <si>
    <t>Tiêu chí Thông tin truyền thông</t>
  </si>
  <si>
    <t>Thường xuyên vệ sinh môi trường, chỉnh trang khuôn viên tại điểm phục vụ bưu chính viễn thông; Mua mới 01 bộ truyền thanh cấp xã; Tăng cường việc ứng dụng Công nghệ thông tin trong quản lý điều hành.</t>
  </si>
  <si>
    <t>Tiêu chí Nhà ở</t>
  </si>
  <si>
    <t>Vận động nhân dân nâng cấp, làm mới nhà ở tạm bợ, nhà mái tranh phát sinh trên địa bàn xã (làm mới 18 nhà, nâng cấp 14 nhà)</t>
  </si>
  <si>
    <t>32 nhà</t>
  </si>
  <si>
    <t>Trên cơ sở kết quả rà soát tập trung tuyên truyền, vận động các hộ chỉnh trang nhà ở và công trình phụ trợ để nâng cao tỷ lệ nhà ở đạt chuẩn BXD đến hết năm 2022 tỷ lệ nhà ở đạt chuẩn ≥80% (hiện còn 47 nhà ở nền đất)</t>
  </si>
  <si>
    <t xml:space="preserve">47 nhà ở chưa đạt chuẩn, </t>
  </si>
  <si>
    <t>Tiêu chí Tổ chức sản xuất</t>
  </si>
  <si>
    <t>Xây dựng trụ sở làm việc cho HTX DVNN Bình Minh Hương Liên</t>
  </si>
  <si>
    <t>Tiêu chí Môi trường và an toàn thực phẩm</t>
  </si>
  <si>
    <t>Tiếp tục tuyên truyền, vận động các hộ thực hiện việc nâng cấp, sửa chữa giếng đào, giếng khoan đảm bảo hợp vệ sinh theo quy định.</t>
  </si>
  <si>
    <t>89 hộ</t>
  </si>
  <si>
    <t xml:space="preserve">Phối hợp với Trung tâm nước sạch và vệ sinh môi trường nông thôn lấy mẫu nước kiểm định, đánh giá chất lượng nguồn nước. </t>
  </si>
  <si>
    <t>01 đợt</t>
  </si>
  <si>
    <t>Vận động làm mới, nâng cấp 179 nhà vệ sinh, 182 nhà tắm, 154 chuồng trại chăn nuôi; vận động chỉnh trang 268 vườn hộ, trồng mới 9000m hàng rào cây xanh</t>
  </si>
  <si>
    <t>Xây dựng đường nội bộ nghĩa trang, rãnh thoát nước xung quanh NT,  trồng cây bóng mát xung quanh nghĩa trang</t>
  </si>
  <si>
    <t>Xây dựng đường đi vào bãi rác, bể lắng, rãnh thoát nước thải, trồng cây xanh tại bãi trung chuyển rác thải</t>
  </si>
  <si>
    <t>1 BR</t>
  </si>
  <si>
    <t xml:space="preserve">Bố trí các ống bi đựng vỏ chai, bao bì thuốc bảo vệ thực vật sau sử dụng trên các cánh đồng; </t>
  </si>
  <si>
    <t>20 ống bi</t>
  </si>
  <si>
    <t>NHU CẦU NGUỒN LỰC THỰC HIỆN ĐẠT CHUẨN TIÊU CHÍ NÔNG THÔN MỚI TẠI XÃ HƯƠNG LIÊN</t>
  </si>
  <si>
    <t xml:space="preserve"> Hoàn thành quy hoạch chung xây dựng xã Hương Liên giai đoạn đến năm 2030</t>
  </si>
  <si>
    <t xml:space="preserve"> Công bố quy hoạch chung xây dựng xã Hương Liên giai đoạn đến năm 2030</t>
  </si>
  <si>
    <t xml:space="preserve"> Xây dựng bản đồ cắm mốc quy hoạch chung xây dựng xã Hương Liên giai đoạn đến năm 2030 trình UBND xã phê duyệt.</t>
  </si>
  <si>
    <t>Cắm mốc Quy hoạch chung xây dựng xã Hương Liên giai đoạn đến năm 2030 với số lượng 1000 mốc theo bản đồ cắm mốc</t>
  </si>
  <si>
    <t>Nâng cấp, sữa chữa nhà ở đạt chuẩn</t>
  </si>
  <si>
    <t xml:space="preserve">Nhà bếp </t>
  </si>
  <si>
    <t>05 bộ</t>
  </si>
  <si>
    <t>15 bộ</t>
  </si>
  <si>
    <t>Ngân sách xã, NTM</t>
  </si>
  <si>
    <t>Tỷ lệ đường xã được nhựa hóa hoặc bê tông hóa, đảm bảo ô tô đi lại thuận tiện quanh năm (yêu cầu đạt 100%)</t>
  </si>
  <si>
    <t xml:space="preserve">0,6 km </t>
  </si>
  <si>
    <t xml:space="preserve">NTM </t>
  </si>
  <si>
    <t>Nâng cấp mở rộng khuôn viên nhà văn hóa thôn 7, thôn 11, thôn 12.</t>
  </si>
  <si>
    <t>03 nhà VH</t>
  </si>
  <si>
    <t>Tiêu chí Trường học</t>
  </si>
  <si>
    <t xml:space="preserve">Trường Mầm non </t>
  </si>
  <si>
    <t>Nâng cấp sân trường điểm Thôn 10</t>
  </si>
  <si>
    <t>600 m2</t>
  </si>
  <si>
    <t xml:space="preserve">Mua sắm bổ sung trang thiết bị, dụng cụ học tập: Các thiết bị khác như Bàn ghế cho học sinh (52 bộ); bàn ghế tại phòng văn phòng, phòng họp, các phòng làm việc (7 bộ); Tủ đựng đồ dùng học sinh (8 bộ); Tủ đựng chăn chiếu (12 bộ); </t>
  </si>
  <si>
    <t>Xây mới nhà để xe tại điểm trung tâm</t>
  </si>
  <si>
    <t>100 m2</t>
  </si>
  <si>
    <t>Trường Tiểu học Hương Lâm</t>
  </si>
  <si>
    <t>Làm nhà để xe GV, HS tại hai điểm trường Chúc A và Trung tâm.</t>
  </si>
  <si>
    <t>Nghị quyết 44</t>
  </si>
  <si>
    <t xml:space="preserve">Nâng mặt bằng, lát gạch sân trường 6000m2; </t>
  </si>
  <si>
    <t>6000 m2</t>
  </si>
  <si>
    <t>Trang thiết bị dạy học như: Bàn ghế học tập (200 bộ); 30 bộ máy tính cho học sinh;...</t>
  </si>
  <si>
    <t xml:space="preserve">Trường THCS </t>
  </si>
  <si>
    <t xml:space="preserve">Các trang thiết bị như: 100 bộ bàn ghế học sinh; Thiết bị phòng Tin học, phòng Ngoại ngữ ; Sách, bàn ghế cho Thư viện; Bàn ghế thực hành, tủ giá đựng thiết bị, các thiết bị trong 6 phòng bộ môn; Mua bàn, ghế, tủ, giá... trong các phòng; máy Vi tính cho học sinh học tập (18 bộ); bàn ghế ngồi trong văn phòng trường (50 bộ) </t>
  </si>
  <si>
    <t xml:space="preserve">Làm mặt bằng và lát gạch sân trường                        </t>
  </si>
  <si>
    <t xml:space="preserve">3500 m2        </t>
  </si>
  <si>
    <t xml:space="preserve">Làm nhà vệ sinh </t>
  </si>
  <si>
    <t>60m2</t>
  </si>
  <si>
    <t>Nhà ở dân cư</t>
  </si>
  <si>
    <t>Môi trường và ATTP</t>
  </si>
  <si>
    <t>Quy hoạch bãi trung chuyển rác thải (QH chi tiết; Đường vào, Khuôn viên...)</t>
  </si>
  <si>
    <t>Nguồn thưởng khu mẫu, nguồn chính sách, XHH,  nhân dân đóng góp</t>
  </si>
  <si>
    <t>24 ống bi</t>
  </si>
  <si>
    <t>TỔNG HỢP KHỐI LƯỢNG, NGUỒN LỰC THỰC HIỆN ĐẠT CHUẨN TIÊU CHÍ NTM XÃ HƯƠNG LÂM</t>
  </si>
  <si>
    <t>Hoàn thành quy hoạch chung xây dựng xã Hương Lâm giai đoạn đến năm 2030</t>
  </si>
  <si>
    <t xml:space="preserve"> Công bố quy hoạch chung xây dựng xã Hương Lâm giai đoạn đến năm 2030</t>
  </si>
  <si>
    <t>Cắm mốc Quy hoạch chung xây dựng xã Hương Lâm giai đoạn đến năm 2030 với số lượng 1000 mốc theo bản đồ cắm mốc</t>
  </si>
  <si>
    <t>Đổ cấp phối đường trục thôn Tuyến TT3 đường trục xã đến làng bồng bụt thôn 5</t>
  </si>
  <si>
    <t>Đổ bê tông đường trục xã ( đạt 7.16/7.360km = 97%)</t>
  </si>
  <si>
    <t xml:space="preserve">TỔNG CỘNG </t>
  </si>
  <si>
    <t xml:space="preserve">XÃ HƯNG LÂM </t>
  </si>
  <si>
    <t>Nâng cấp sữa chữa</t>
  </si>
  <si>
    <t xml:space="preserve">Nhà tắm, nhà vệ sinh </t>
  </si>
  <si>
    <t>Chỉnh trang, sẻ phát cây tạp, trồng bổ sung cây ăn quả</t>
  </si>
  <si>
    <t>Cải tạo, nâng cấp, che chắn, xây hố chứa phân, làm đệm lót sinh học</t>
  </si>
  <si>
    <t>Di dời</t>
  </si>
  <si>
    <t>Trồng mới hàng rào xanh</t>
  </si>
  <si>
    <t>Thực hiện cắm mốc hành lang (trục thôn 10 mốc; ngõ thôn 60 mốc)</t>
  </si>
  <si>
    <t>Nạo vét kênh mương, đắp lề đường</t>
  </si>
  <si>
    <t xml:space="preserve">Thay thế dây dẫn sau công tơ và bổ sung 1 số cột </t>
  </si>
  <si>
    <t xml:space="preserve">Làm đường điện chiếu sáng </t>
  </si>
  <si>
    <t>Xây hổ tự thẩm, rãnh thoát nước và xứ lý nước thải sinh hoạt</t>
  </si>
  <si>
    <t>Bê tông hóa tuyến đường từ đường thôn đến Bà Đỉnh và đường thôn đến anh Hà, hệ</t>
  </si>
  <si>
    <t xml:space="preserve">Làm đường BTXM đường trục thôn và ngõ xóm </t>
  </si>
  <si>
    <t>0,2</t>
  </si>
  <si>
    <t>XÃ HÒA HẢI</t>
  </si>
  <si>
    <t>Hàng rào xanh</t>
  </si>
  <si>
    <t>THÔN  6</t>
  </si>
  <si>
    <t>Nâng cấp sửa chữa nhà đảm bảo 3 cứng</t>
  </si>
  <si>
    <t>Trồng bổ sung cây bưởi Phúc Trạch</t>
  </si>
  <si>
    <t>Hỗ trợ  cọc bê tông, dây thép gai</t>
  </si>
  <si>
    <t>Giao thông nông thôn</t>
  </si>
  <si>
    <t xml:space="preserve"> Đắp đất bù lề, mở rộng đường</t>
  </si>
  <si>
    <t xml:space="preserve">Nhà văn hóa  </t>
  </si>
  <si>
    <t>Xây nhà vệ sinh tự hoại</t>
  </si>
  <si>
    <t>Vôi ve lại nhà văn hóa</t>
  </si>
  <si>
    <t>Mua 5 ghế đá</t>
  </si>
  <si>
    <t xml:space="preserve">Đổ đất, san mặt bằng khu thể thao </t>
  </si>
  <si>
    <t>Làm hố tự thấm</t>
  </si>
  <si>
    <t>Nâng cấp đường trục thôn (2 tuyến)</t>
  </si>
  <si>
    <t>Nâng cấp, sữa chữa nhà ở đạt 3 cứng</t>
  </si>
  <si>
    <t>Di dời chuồng trại (9 cái)</t>
  </si>
  <si>
    <t xml:space="preserve"> Đổ bê tông nâng cấp đường trục thôn</t>
  </si>
  <si>
    <t>Làm hàng rào B40, cọc bê tông</t>
  </si>
  <si>
    <t>Trồng cây xanh ( chuổi ngọc)</t>
  </si>
  <si>
    <t>Mua ghế ngồi</t>
  </si>
  <si>
    <t>Điện</t>
  </si>
  <si>
    <t xml:space="preserve">Lắp điện chiếu sáng 6 tuyến </t>
  </si>
  <si>
    <t>Làm rãnh thoát nước đường ngõ xóm</t>
  </si>
  <si>
    <t>Mua ghế ngồi tại nhà văn hóa</t>
  </si>
  <si>
    <t xml:space="preserve">Chỉnh trang vườn đạt chuẩn </t>
  </si>
  <si>
    <t>Di dời, chỉnh trang, Nâng cấp chuồng trại đạt chuẩn</t>
  </si>
  <si>
    <t>Cọc bê tông</t>
  </si>
  <si>
    <t>Trồng bổ sung cây mận hảo</t>
  </si>
  <si>
    <t>Làm đường điện thắp sáng</t>
  </si>
  <si>
    <t>Xây dựng rãnh thoát nước thải, hệ thống xử lý nước thải sinh hoạt để đảm bảo hợp vệ sinh</t>
  </si>
  <si>
    <t>Nâng cấp mương thoát nước đường trục thôn</t>
  </si>
  <si>
    <t>Trồng thêm cây bưởi Phúc Trạch</t>
  </si>
  <si>
    <t xml:space="preserve">Di dời chuồng trại </t>
  </si>
  <si>
    <t xml:space="preserve">Nâng cấp che chắn, xây dựng hố chứa phân </t>
  </si>
  <si>
    <t xml:space="preserve">Trồng mới hàng rào xanh, </t>
  </si>
  <si>
    <t xml:space="preserve">Lắp điện chiếu sáng 09 tuyến </t>
  </si>
  <si>
    <t>Mua Ti vi</t>
  </si>
  <si>
    <t>San lấp mặt bằng mở rộng khu thể thao</t>
  </si>
  <si>
    <t>Cây bóng mát</t>
  </si>
  <si>
    <t>Xây hố thu gom, xử lý rác thải</t>
  </si>
  <si>
    <t>Nâng cấp tuyến đường trục thôn từ Phan Tâm đến Lê Hà</t>
  </si>
  <si>
    <t>Che chắn, xây hố phân, nâng cấp</t>
  </si>
  <si>
    <t xml:space="preserve">Giao thông </t>
  </si>
  <si>
    <t xml:space="preserve">Xây hố tự thấm nước thải, hố tự thấm </t>
  </si>
  <si>
    <t>Đắp đất bù lề các tuyến đường trục thôn</t>
  </si>
  <si>
    <t>Nâng cấp rãnh thoát nước đường ngõ thôn</t>
  </si>
  <si>
    <t>Mua bàn</t>
  </si>
  <si>
    <t>Mua 5 ghế băng</t>
  </si>
  <si>
    <t>Xây mới bồn hoa cây cảnh</t>
  </si>
  <si>
    <t>Đổ đất khuôn viên sân thế thao</t>
  </si>
  <si>
    <t>THÔN 13</t>
  </si>
  <si>
    <t>TỔNG HỢP KHỐI LƯỢNG, NGUỒN LỰC THỰC HIỆN CỦA CÁC THÔN TẠI XÃ HÒA HẢI</t>
  </si>
  <si>
    <t xml:space="preserve">II </t>
  </si>
  <si>
    <t>NHU CẦU NGUỒN LỰC THỰC HIỆN ĐẠT CHUẨN TIÊU CHÍ NÔNG THÔN MỚI XÃ ĐIỀN MỸ</t>
  </si>
  <si>
    <t>Công bố quy hoạch chung xây dựng xã Điền Mỹ giai đoạn đến năm 2030</t>
  </si>
  <si>
    <t>12 bản đồ</t>
  </si>
  <si>
    <t>Xây dựng bản đồ cắm mốc quy hoạch chung xây dựng xã Điền Mỹ giai đoạn đến năm 2030 trình UBND xã phê duyệt.</t>
  </si>
  <si>
    <t xml:space="preserve"> Cắm mốc Quy hoạch chung xây dựng xã Điền Mỹ giai đoạn đến năm 2030 với số lượng 1700 mốc theo bản đồ cắm mốc</t>
  </si>
  <si>
    <t>1700 mốc</t>
  </si>
  <si>
    <t>Đường trục xã (Đạt 27,5/30 km = 91,6 %)</t>
  </si>
  <si>
    <t>Làm mới tuyển đường từ cầu chợ hôm đi thôn Nam Hà</t>
  </si>
  <si>
    <t>1,3km</t>
  </si>
  <si>
    <t>Dự án đầu tư</t>
  </si>
  <si>
    <t>Nâng cấp tuyển đường từ Ga Thanh luyện đến đường huyện lộ</t>
  </si>
  <si>
    <t>1,2km</t>
  </si>
  <si>
    <t>Giải tỏa hành lang, đắp lề đường, mở rộng nền đường tuyến đường trục xã  đảm bảo đạt chuẩn. Cụ thể các tuyến trục xã xóm 1, xóm 4, xóm 5, xóm trung thành, xóm thượng Sơn, xóm Tân Hạ</t>
  </si>
  <si>
    <t>13,5km</t>
  </si>
  <si>
    <t>Đường trục thôn  (Đạt 11,87/14,98 km = 77,9%)</t>
  </si>
  <si>
    <t xml:space="preserve">Bê tông hóa các tuyến đường trục thôn  đảm bảo đạt chuẩn theo quy định (B nền=5m. B mặt = 3m). </t>
  </si>
  <si>
    <t>3,2km</t>
  </si>
  <si>
    <t>8,7km</t>
  </si>
  <si>
    <t>Đường ngõ xóm (Đạt 15,51/27,5 km = 51,05 %)</t>
  </si>
  <si>
    <t>6,2km</t>
  </si>
  <si>
    <t>Đường nội đồng (Đạt18,89/31,79km = 58,9 %)</t>
  </si>
  <si>
    <t>8,9km</t>
  </si>
  <si>
    <t>17 km</t>
  </si>
  <si>
    <t>3.1</t>
  </si>
  <si>
    <t xml:space="preserve">Cấp đổi giấy chứng nhận QSD đất, vẽ lại quy hoạch trường sau sáp nhập </t>
  </si>
  <si>
    <t>Xây mới khối phòng hành chính quản trị bao gồm: 1 phòng văn phòng, 1 phòng Hiệu trưởng, 1 phòng Phó hiệu trưởng, 1 phòng kế toán, 1 phòng nhân viên, 1 phòng họp, 1 phòng y tế, 1 phòng kho (Điểm 1)</t>
  </si>
  <si>
    <t>Xây mới 1 phòng giáo dục thể chất,1 phòng Nghệ thuật, 1 phòng đa năng tại (điểm 1). Trang trí, mua sắm đồ dùng phòng Giáo dục thể chất, nghệ thuật</t>
  </si>
  <si>
    <t>3 phòng</t>
  </si>
  <si>
    <t>Xây mới bếp ăn bán trú, theo quy trình bếp 1 chiều, kho thực phẩm, bàn sơ chế, bàn chia thức ăn (điểm 1).</t>
  </si>
  <si>
    <t>2 phòng</t>
  </si>
  <si>
    <t>Nâng cấp hệ thống đường dây điện 3 pha cả 2 điểm trường để đảm bảo đủ điện tủ ủ cơm bán trú</t>
  </si>
  <si>
    <t>Xây mới cổng trường (điểm 1).</t>
  </si>
  <si>
    <t>1 cái</t>
  </si>
  <si>
    <t>Làm mới nhà xe điểm trường (điểm 1).</t>
  </si>
  <si>
    <t>Lát gạch Blook điểm trường  (điểm 1)</t>
  </si>
  <si>
    <t>600m2</t>
  </si>
  <si>
    <t>Bàn ghế cho học sinh</t>
  </si>
  <si>
    <t>50 bộ</t>
  </si>
  <si>
    <t>Quét vôi ve, lắp lại hệ thống dẫn nước nhà học 2 tầng (điểm 1)</t>
  </si>
  <si>
    <t>Hệ thống phòng cháy, chữa cháy</t>
  </si>
  <si>
    <t>Xây lò xứ lý rác thải</t>
  </si>
  <si>
    <t>3.2</t>
  </si>
  <si>
    <t>Xây mới: phòng Khoa học công nghệ,  phòng Truyền thống, phòng  Đảng Đoàn, phòng Giáo viên,Văn phòng, phòng Đội, phòng Tư vấn học đường, phòng Giáo viên (Điểm 1)</t>
  </si>
  <si>
    <t>2000m2</t>
  </si>
  <si>
    <t>3.3</t>
  </si>
  <si>
    <t>Trường THCS</t>
  </si>
  <si>
    <t>Xây mới khối phòng quản trị hành chính</t>
  </si>
  <si>
    <t>13 phòng</t>
  </si>
  <si>
    <t>Xây mới nhà đa chức năng</t>
  </si>
  <si>
    <t>400m2</t>
  </si>
  <si>
    <t>Xây dựng khối nhà học tập</t>
  </si>
  <si>
    <t>09 phòng</t>
  </si>
  <si>
    <t>Mua sắm bộ Thí nghiệm</t>
  </si>
  <si>
    <t>08 bộ</t>
  </si>
  <si>
    <t>Xây mới nhà vệ sinh học sinh</t>
  </si>
  <si>
    <t>01 phòng</t>
  </si>
  <si>
    <t>Mua máy vi tính</t>
  </si>
  <si>
    <t>Xây mới nhà văn hóa xã và các phòng chức năng</t>
  </si>
  <si>
    <t>Ngân Sách huyện</t>
  </si>
  <si>
    <t>Đóng mới hệ thống khánh tiết nhà văn hóa xã, hệ thống bàn ghế ngồi, loa máy sau khi xây nhà văn hóa xã</t>
  </si>
  <si>
    <t xml:space="preserve">  bố trí các phòng hành chính, phòng đọc thư viện (có tủ hoặc giá sách tối thiểu 1000 cuốn không kể báo, tạp chí..., tối thiểu 04 máy tính kết nối Internet, có bàn đọc, ghế ngồi từ 15 chỗ trở lên), phòng thông tin truyền thanh, phòng sinh hoạt câu lạc bộ, phòng truyền thống.</t>
  </si>
  <si>
    <t>Làm cổng, hàng rào sân thể thao, xây khán đài</t>
  </si>
  <si>
    <t>chỉnh trang khuôn viên Trồng hàng rào xanh khuôn viên tất cả các hội quán, xây nhà vệ sinh tự hoại , giếng nước của 8 thôn còn lại, xây dựng khu vui chơi giải trí cho trẻ em và người già ở các thôn</t>
  </si>
  <si>
    <t>09 thôn</t>
  </si>
  <si>
    <t>Sửa chữa nâng cấp một số hạng mục tại chơ hôm như: lợp lại mái đình chợ, lắp đặt hệ thống cấp nước khu bán thực phẩm tươi sống , sữa chữa nhà xe, làm cổng chợ, lắp đặt cân đối chứng….</t>
  </si>
  <si>
    <t>7 hạng mục</t>
  </si>
  <si>
    <t>Vận động nhân dân nâng cấp, làm mới nhà ở tạm bợ, nhà mái tranh phát sinh trên địa bàn xã (làm mới 17 nhà, nâng cấp 7 nhà)</t>
  </si>
  <si>
    <t>24 nhà</t>
  </si>
  <si>
    <t>Trên cơ sở kết quả rà soát tập trung tuyên truyền, vận động các hộ chỉnh trang nhà ở và công trình phụ trợ để nâng cao tỷ lệ nhà ở đạt chuẩn BXD đến hết năm 2022 tỷ lệ nhà ở đạt chuẩn ≥80% (hiện còn 56 nhà ở có niên hạn sử dụng dưới 20 năm cần nâng cấp sữa chữa)</t>
  </si>
  <si>
    <t xml:space="preserve">56 nhà ở chưa đạt chuẩn, </t>
  </si>
  <si>
    <t>48 hộ</t>
  </si>
  <si>
    <t>Tiêu chí y tế</t>
  </si>
  <si>
    <t xml:space="preserve">Di dời và Xây dựng trạm y tế mới </t>
  </si>
  <si>
    <t>Nội dung</t>
  </si>
  <si>
    <t>Đơn vị tính</t>
  </si>
  <si>
    <t>Kinh phí   (Nghìn đồng)</t>
  </si>
  <si>
    <t>Ghi chú</t>
  </si>
  <si>
    <t>ĐIỀN MỸ</t>
  </si>
  <si>
    <t>Nhà</t>
  </si>
  <si>
    <t>Chỉnh trang vườn</t>
  </si>
  <si>
    <t>Vườn</t>
  </si>
  <si>
    <t>Di dời và che chẵn chuồng trại</t>
  </si>
  <si>
    <t>Chuồng</t>
  </si>
  <si>
    <t>m</t>
  </si>
  <si>
    <t>Trồng hàng rào bê tông</t>
  </si>
  <si>
    <t>Cọc</t>
  </si>
  <si>
    <t>Đắp lề</t>
  </si>
  <si>
    <t>km</t>
  </si>
  <si>
    <t xml:space="preserve">Nạo vét </t>
  </si>
  <si>
    <t>Cái</t>
  </si>
  <si>
    <t>Cây</t>
  </si>
  <si>
    <t>Nhà Văn hóa và Khu thể thao thôn:</t>
  </si>
  <si>
    <t xml:space="preserve">Mua  ghế tựa </t>
  </si>
  <si>
    <t>Bồn hoa trong khuôn viên</t>
  </si>
  <si>
    <t>Bồn</t>
  </si>
  <si>
    <t>Mua thàng rác</t>
  </si>
  <si>
    <t>Thùng</t>
  </si>
  <si>
    <t>Cọc bê tông trồng hàng rào hội quán</t>
  </si>
  <si>
    <t>Làm rạp nắng</t>
  </si>
  <si>
    <t>m2</t>
  </si>
  <si>
    <t>Xây  nhà vệ sinh</t>
  </si>
  <si>
    <t>Khoan Giếng nước</t>
  </si>
  <si>
    <t>Đổ sân bóng chuyền bằng bê tông</t>
  </si>
  <si>
    <t>Đổ bê tông sân nhà văn hóa</t>
  </si>
  <si>
    <t>Bộ phong màn hội trường</t>
  </si>
  <si>
    <t>bộ</t>
  </si>
  <si>
    <t>Đổ đất khuôn viên nhà văn hóa</t>
  </si>
  <si>
    <t>xe</t>
  </si>
  <si>
    <t>Nhà để xe</t>
  </si>
  <si>
    <t>Cột đèn điện chiếu sáng tại sân nhà VH</t>
  </si>
  <si>
    <t>cột</t>
  </si>
  <si>
    <t>Tuyên truyền, pana, áp phích</t>
  </si>
  <si>
    <t>cái</t>
  </si>
  <si>
    <t>Vệ sinh môi trường:</t>
  </si>
  <si>
    <t>Nâng cấp sữa chưa giếng nước</t>
  </si>
  <si>
    <t>Hộ</t>
  </si>
  <si>
    <t>Vận động các hộ làm rãnh thoát nước</t>
  </si>
  <si>
    <t>Nhà ở</t>
  </si>
  <si>
    <t>Xây dựng mới nhà ở</t>
  </si>
  <si>
    <t>Nâng cấp khung nhà</t>
  </si>
  <si>
    <t>Lớp lại mái nhà bếp</t>
  </si>
  <si>
    <t xml:space="preserve">Xây mới nhà bếp </t>
  </si>
  <si>
    <t>Nhà vệ sinh tự hoại</t>
  </si>
  <si>
    <t>Xây dựng mới nhà tắm</t>
  </si>
  <si>
    <t>Trồng bổ sung cây ăn quả</t>
  </si>
  <si>
    <t>Di dời làm mới chuồng trại</t>
  </si>
  <si>
    <t>Xây dựng hố phân</t>
  </si>
  <si>
    <t>Hố</t>
  </si>
  <si>
    <t>Xây dựng hố chứa nước thải</t>
  </si>
  <si>
    <t>Bể</t>
  </si>
  <si>
    <t>Trồng mới, trồng dặm</t>
  </si>
  <si>
    <t xml:space="preserve"> Trồng cây chè tàu, chuỗi ngọc hoặc dâm bụt</t>
  </si>
  <si>
    <t>Trồng cây phủ hàng rào bê tông</t>
  </si>
  <si>
    <t>Trồng cây leo phủ hàng rào xây</t>
  </si>
  <si>
    <t>Làm mới đường Bê tông</t>
  </si>
  <si>
    <t>Xây dựng rãnh thoát nước bê tông</t>
  </si>
  <si>
    <t>Nạo vét rãnh thoát nước bằng đất</t>
  </si>
  <si>
    <t xml:space="preserve">Đắp lề </t>
  </si>
  <si>
    <t xml:space="preserve">Đường Ngõ xóm </t>
  </si>
  <si>
    <t xml:space="preserve">Xây dựng rãnh thoát nước </t>
  </si>
  <si>
    <t>Nạo vét rãnh thoát nước (rãnh đất )</t>
  </si>
  <si>
    <t>Mua cọc bê tông làm hàng rào</t>
  </si>
  <si>
    <t>Thay thế mới bảng biểu</t>
  </si>
  <si>
    <t>Mua thùng rác</t>
  </si>
  <si>
    <t>Xây dựng hố lắng, rãnh thoát nước thải</t>
  </si>
  <si>
    <t>Hỗ trợ ca máy phá bỏ hàng rào tạp</t>
  </si>
  <si>
    <t>ca</t>
  </si>
  <si>
    <t>Đắp lề đoạn từ cửa ông lệ đến nghĩa trang và tuyến đường từ đường WB đin anh lương, tuyển từ anh Kính đi anh Thiên</t>
  </si>
  <si>
    <t>Cắm biển báo tải trọng</t>
  </si>
  <si>
    <t>Đổ đường bê tông của 12 tuyển đường ngõ xóm đang đường đất</t>
  </si>
  <si>
    <t xml:space="preserve">Nạo vét rãnh thoát nước </t>
  </si>
  <si>
    <t xml:space="preserve">Đắp lề sau khi làm đường bê tông 13 tuyển ngõ xóm </t>
  </si>
  <si>
    <t>Làm nhà để xe</t>
  </si>
  <si>
    <t>Khoan giếng nước</t>
  </si>
  <si>
    <t>Mua bồn đượng nước</t>
  </si>
  <si>
    <t>Nâng cấp khung</t>
  </si>
  <si>
    <t xml:space="preserve">Quy hoạch lại vườn </t>
  </si>
  <si>
    <t>Lợp lại mái</t>
  </si>
  <si>
    <t xml:space="preserve">chuồng </t>
  </si>
  <si>
    <t xml:space="preserve">Nạo vét rảnh đất </t>
  </si>
  <si>
    <t>Xây dựng rãnh thoát nước bằng bê tông</t>
  </si>
  <si>
    <t xml:space="preserve">ca máy </t>
  </si>
  <si>
    <t>Biển báo ( Biểu chỉ dẫn + Tải trọng)</t>
  </si>
  <si>
    <t xml:space="preserve">cái </t>
  </si>
  <si>
    <t>cây</t>
  </si>
  <si>
    <t xml:space="preserve">Làm tủ sách </t>
  </si>
  <si>
    <t>Làm nhà xe</t>
  </si>
  <si>
    <t>Cọc bê tông làm hàng rào</t>
  </si>
  <si>
    <t>cọc</t>
  </si>
  <si>
    <t>Đổ bê tông sân bóng chuyền</t>
  </si>
  <si>
    <t>THÔN NAM HÀ</t>
  </si>
  <si>
    <t>Lợp lại mái nhà</t>
  </si>
  <si>
    <t>Nâng Cấp khung</t>
  </si>
  <si>
    <t xml:space="preserve">Xây dựng rãnh thoát nước tuyến ngõ ông Khương  đi Cầu ngoạn </t>
  </si>
  <si>
    <t>Cửa anh Lý- Cầu Tre (Đoạn từ cửa ông hoàn đi cửa ông cầm)</t>
  </si>
  <si>
    <t>Đắp lề đoạn từ cửa ông Đường đến cửa ông Hồng và đoạn từ Cửa ông Tài Đến Cửa Anh Lưu.</t>
  </si>
  <si>
    <t xml:space="preserve">Xây dựng rãnh thoát nước tuyến ngõ ông Khoan đi Cửa ông Lợi và đoạn cửa ông Cầm Đi cửa Bà Hải </t>
  </si>
  <si>
    <t>Đóng mới ghế ngồi (04 chỗ ngồi/01 ghế)</t>
  </si>
  <si>
    <t>Làm ređô che các cửa số</t>
  </si>
  <si>
    <t xml:space="preserve">Làm rạp mát </t>
  </si>
  <si>
    <t>THÔN NAM TRUNG</t>
  </si>
  <si>
    <t>Đóng ghế băng 4chỗ ngồi/01 ghế</t>
  </si>
  <si>
    <t>Làm mới tủ sách</t>
  </si>
  <si>
    <t>THÔN THƯỢNG SƠN</t>
  </si>
  <si>
    <t>Làm rạp mát</t>
  </si>
  <si>
    <t xml:space="preserve">San lấp mặt bằng  sân nhà văn hóa </t>
  </si>
  <si>
    <t>THÔN TRUNG THÀNH</t>
  </si>
  <si>
    <t>Km</t>
  </si>
  <si>
    <t>2,6</t>
  </si>
  <si>
    <t>1,2</t>
  </si>
  <si>
    <t>THÔN TRUNG TIẾN</t>
  </si>
  <si>
    <t xml:space="preserve">Nâng cấp nhà bếp </t>
  </si>
  <si>
    <t xml:space="preserve">Xây dựng rãnh thoát nước  </t>
  </si>
  <si>
    <t>Xây dựng rãnh thoát nước</t>
  </si>
  <si>
    <t>THÔN TÂN HẠ</t>
  </si>
  <si>
    <t>Đổ sân nhà văn hóa</t>
  </si>
  <si>
    <t>nhà</t>
  </si>
  <si>
    <t>Lắp đặt bình đựng nước</t>
  </si>
  <si>
    <t>Đổ sân bóng chuyền</t>
  </si>
  <si>
    <t>Làm mới hệ thống điện chiếu sáng các trục đường</t>
  </si>
  <si>
    <t>Nâng Cấp nhà bếp</t>
  </si>
  <si>
    <r>
      <t>Trồng bổ sung cây ăn quả</t>
    </r>
    <r>
      <rPr>
        <sz val="12"/>
        <color indexed="10"/>
        <rFont val="Times New Roman"/>
        <family val="1"/>
      </rPr>
      <t xml:space="preserve"> </t>
    </r>
  </si>
  <si>
    <t>Kinh phí (triệu đồng)</t>
  </si>
  <si>
    <t>XÃ PHÚC ĐỒNG</t>
  </si>
  <si>
    <t>Xây mới NVS</t>
  </si>
  <si>
    <t>Trồng  HRX</t>
  </si>
  <si>
    <t>Nhà văn hóa thôn, khu thể thao thôn</t>
  </si>
  <si>
    <t>Xây mới NVS tự hoại</t>
  </si>
  <si>
    <t>Láng nền 1 sân bóng chuyền</t>
  </si>
  <si>
    <t>Làm hố xử lý nước thải sinh hoạt</t>
  </si>
  <si>
    <t>Mô hình</t>
  </si>
  <si>
    <t>Bổ sung bàn ghế ngồi đạt chuẩn</t>
  </si>
  <si>
    <t>4 bàn,20 ghế băng có tựa</t>
  </si>
  <si>
    <t>Láng nền 1 sân bóng chuyền hơi</t>
  </si>
  <si>
    <t>4 bàn, 20 ghế băng có tựa</t>
  </si>
  <si>
    <t>Nâng cấp NVS tự hoại</t>
  </si>
  <si>
    <t>Làm khuôn viên sân bóng đá</t>
  </si>
  <si>
    <t>CT</t>
  </si>
  <si>
    <t>vườn</t>
  </si>
  <si>
    <t>chuồng</t>
  </si>
  <si>
    <t>hố</t>
  </si>
  <si>
    <t>mốc</t>
  </si>
  <si>
    <t>biển</t>
  </si>
  <si>
    <t xml:space="preserve">ca </t>
  </si>
  <si>
    <t>khu</t>
  </si>
  <si>
    <t>sân</t>
  </si>
  <si>
    <t>caây</t>
  </si>
  <si>
    <t>tủ</t>
  </si>
  <si>
    <t>sách</t>
  </si>
  <si>
    <t>giếng</t>
  </si>
  <si>
    <t xml:space="preserve">Đắp lề đường đảm bảo </t>
  </si>
  <si>
    <t>hộ</t>
  </si>
  <si>
    <t>bồn</t>
  </si>
  <si>
    <t>bảng</t>
  </si>
  <si>
    <t>cửa</t>
  </si>
  <si>
    <t>cổng</t>
  </si>
  <si>
    <t xml:space="preserve">Đắp bù lề đường </t>
  </si>
  <si>
    <t>m3</t>
  </si>
  <si>
    <t>Mua sắm trang thiết bị, khánh tiết tại nhà văn hóa thôn 1, 3, 4, 5, 6, 7, 8, 10, 11, 12</t>
  </si>
  <si>
    <t>TỔNG HỢP KHỐI LƯỢNG, NGUỒN LỰC THỰC HIỆN TẠI CÁC THÔN XÃ PHÚC ĐỒNG</t>
  </si>
  <si>
    <t>TỔNG HỢP KHỐI LƯỢNG, NGUỒN LỰC THỰC HIỆN CỦA CÁC THÔN 
TẠI XÃ HƯƠNG LIÊN</t>
  </si>
  <si>
    <t>TỔNG HỢP KHỐI LƯỢNG, NGUỒN LỰC THỰC HIỆN CỦA CÁC THÔN
 TẠI XÃ HƯƠNG LÂM</t>
  </si>
  <si>
    <t>TỔNG HỢP KHỐI LƯỢNG, NGUỒN LỰC THỰC HIỆN TẠI CỦA CÁC THÔN 
TẠI XÃ ĐIỀN MỸ</t>
  </si>
  <si>
    <t>TỔNG HỢP KHỐI LƯỢNG, NGUỒN LỰC THỰC HIỆN TẠI CÁC THÔN 
TẠI XÃ HƯƠNG THỦY</t>
  </si>
  <si>
    <t>TỔNG HỢP KHỐI LƯỢNG, NGUỒN LỰC THỰC HIỆN CỦA CÁC THÔN 
TẠI XÃ HƯƠNG BÌNH</t>
  </si>
  <si>
    <t>Qua điều tra: Đến nay đã có 1.077/1.747 hộ gia đình có nhà tắm HVS. Còn lại 670 hộ gia đình có nhà tắm chưa HVS</t>
  </si>
  <si>
    <t xml:space="preserve">  + Điểm Truông Bát: Mở rộng khuôn viên, xây cổng trường, tường rào, xây dựng 04 phòng học; Xây nhà bếp, 01 phòng phó hiệu trưởng.
  + Điểm Hà Linh: Xây dựng 3 phòng (kế toán, nhân viên, phòng kho); Mua sắm 10 bộ bàn ghế phòng họp; 04 bộ trang thiết bị dạy học;  
</t>
  </si>
  <si>
    <t>Dùng máy E GPMB mở rộng hàng lang đường, nạo vét rảnh thoát nước</t>
  </si>
  <si>
    <t>01 bộ</t>
  </si>
  <si>
    <t>Xây dựng khuôn viên NHV thôn 1, 3, 4, 5, 6, 8, 9 11, 12</t>
  </si>
  <si>
    <t>Mua ghế băng dài;</t>
  </si>
  <si>
    <t>Xây dựng 01 bãi rác trung chuyển (gồm các hạng mục xây tường rào, láng nền, làm cửa, xây bể lắng….)</t>
  </si>
  <si>
    <t>50 cây</t>
  </si>
  <si>
    <t>Mua sắm trang thiết bị phục vụ nhu cầu giải trí cho nhân dân tại điểm khu vui chơi của xã (gồm xà đơn, xà kép, cầu trượt….)</t>
  </si>
  <si>
    <t xml:space="preserve">Xây dựng điểm vui chơi cho trẻ em và người già tại khu thể thao </t>
  </si>
  <si>
    <t>Xây dựng thêm vườn mẫu đạt chuẩn</t>
  </si>
  <si>
    <t>Nâng cấp lại các nhà văn hóa thôn; Xây dựng khuôn viên nhà văn hóa thôn 3; Trồng hàng rào xanh khuôn viên tất cả các hội quán</t>
  </si>
  <si>
    <t>Vận động làm mới, nâng cấp 450 nhà vệ sinh, 312 nhà tắm, 244 chuồng trại chăn nuôi, trồng mới 11000m hàng rào cây xanh</t>
  </si>
  <si>
    <t>Quy hoạch nghĩa trang (Quy hoạch, Làm đường vào, xây nhà quản trang, ...)</t>
  </si>
  <si>
    <t xml:space="preserve">- </t>
  </si>
  <si>
    <t xml:space="preserve">Làm mương thoát nước bằng bê tông đường trục thôn </t>
  </si>
  <si>
    <t xml:space="preserve">2,5km </t>
  </si>
  <si>
    <t>Lắp đặt biển báo giao thông (78 biển tải trọng và 7 biển chỉ dẫn)</t>
  </si>
  <si>
    <t>85 biển</t>
  </si>
  <si>
    <t>Nâng cấp, khuôn viên khu thể thao thôn, bổ sung dụng cụ thể thao thôn 1,2,4,5,6,7,8,9,10</t>
  </si>
  <si>
    <t>09 khu</t>
  </si>
  <si>
    <t xml:space="preserve">Nâng cấp, xây mới  trụ sở ủy ban xã </t>
  </si>
  <si>
    <t>02 nhà xe</t>
  </si>
  <si>
    <t>1 bãi</t>
  </si>
  <si>
    <t>2 bãi</t>
  </si>
  <si>
    <t>215 giếng</t>
  </si>
  <si>
    <t>5 km</t>
  </si>
  <si>
    <t>0,2km</t>
  </si>
  <si>
    <t>cuộn</t>
  </si>
  <si>
    <t xml:space="preserve">Đất đắp bù lề đường </t>
  </si>
  <si>
    <t>Che chắn chuồng trại, nâng cấp hố phân</t>
  </si>
  <si>
    <t>Che chắn chuồng trại (20 chuồng)</t>
  </si>
  <si>
    <t xml:space="preserve">Lắp điện chiếu sáng </t>
  </si>
  <si>
    <t>Đổ bê tông nâng cấp đường ngõ xóm</t>
  </si>
  <si>
    <t xml:space="preserve">Lắp đặt điện chiếu sáng </t>
  </si>
  <si>
    <t>Nâng cấp, sửa chữa nhà ở đạt chuẩn 3 cứng</t>
  </si>
  <si>
    <t xml:space="preserve">Che chắn chuồng trại </t>
  </si>
  <si>
    <r>
      <t xml:space="preserve">Mua sắm dụng cụ thể dục; thể thao </t>
    </r>
    <r>
      <rPr>
        <b/>
        <sz val="12"/>
        <color theme="1"/>
        <rFont val="Times New Roman"/>
        <family val="1"/>
      </rPr>
      <t>(</t>
    </r>
    <r>
      <rPr>
        <sz val="12"/>
        <color theme="1"/>
        <rFont val="Times New Roman"/>
        <family val="1"/>
      </rPr>
      <t>01 Lưới bóng chuyền da, 01 lưới bóng chuyền hơi, 01 bộ vợt cầu lông)</t>
    </r>
  </si>
  <si>
    <t>Trồng bổ sung cây bóng mát hai bên đường trục thôn: 2,560 km (tương ứng 115 cây).</t>
  </si>
  <si>
    <t xml:space="preserve">Trồng bổ sung cây bưởi Phúc Trạch </t>
  </si>
  <si>
    <t>Bê tông hóa đường trục thôn theo cơ chế hỗ trợ xi măng năm 2022 để đạt chuẩn ít nhất 70%</t>
  </si>
  <si>
    <t>30 nhà</t>
  </si>
  <si>
    <t>Vận động 10 hộ lợp lại mái nhà kiên cố (hiện nay đang mái tranh)</t>
  </si>
  <si>
    <t>Bê tông hóa các tuyến đường ngõ xóm đảm bảo đạt chuẩn theo quy định (B nền=5m. B mặt = 3m).</t>
  </si>
  <si>
    <t>11,99km</t>
  </si>
  <si>
    <t>12,9km</t>
  </si>
  <si>
    <t>Vận động làm mới 618 nhà vệ sinh tự hoại, 320 nhà tắm; di dời, che chăn 416 chuồng trại chăn nuôi; vận động chỉnh trang 630 vườn hộ, trồng mới 59.797m  hàng rào cây xanh. Lắp đặt 312 máy lọc nước hộ gia đình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</si>
</sst>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0.0"/>
    <numFmt numFmtId="165" formatCode="_(* #,##0_);_(* \(#,##0\);_(* &quot;-&quot;??_);_(@_)"/>
    <numFmt numFmtId="166" formatCode="_(* #,##0.0_);_(* \(#,##0.0\);_(* &quot;-&quot;??_);_(@_)"/>
    <numFmt numFmtId="167" formatCode="0.0"/>
    <numFmt numFmtId="168" formatCode="_-* #,##0\ _₫_-;\-* #,##0\ _₫_-;_-* &quot;-&quot;??\ _₫_-;_-@_-"/>
    <numFmt numFmtId="169" formatCode="#,##0.0_);\(#,##0.0\)"/>
  </numFmts>
  <fonts count="42"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0"/>
      <name val="Arial"/>
      <family val="2"/>
    </font>
    <font>
      <sz val="11"/>
      <color theme="1"/>
      <name val="Calibri"/>
      <family val="2"/>
      <scheme val="minor"/>
    </font>
    <font>
      <sz val="12"/>
      <color rgb="FFFF0000"/>
      <name val="Times New Roman"/>
      <family val="1"/>
    </font>
    <font>
      <i/>
      <sz val="12"/>
      <color rgb="FFFF0000"/>
      <name val="Times New Roman"/>
      <family val="1"/>
    </font>
    <font>
      <b/>
      <sz val="9"/>
      <color indexed="81"/>
      <name val="Tahoma"/>
      <family val="2"/>
    </font>
    <font>
      <sz val="9"/>
      <color indexed="81"/>
      <name val="Tahoma"/>
      <family val="2"/>
    </font>
    <font>
      <b/>
      <i/>
      <sz val="12"/>
      <color theme="1"/>
      <name val="Times New Roman"/>
      <family val="1"/>
    </font>
    <font>
      <b/>
      <sz val="12"/>
      <name val="Times New Roman"/>
      <family val="1"/>
    </font>
    <font>
      <sz val="12"/>
      <name val="Times New Roman"/>
      <family val="1"/>
    </font>
    <font>
      <i/>
      <sz val="12"/>
      <name val="Times New Roman"/>
      <family val="1"/>
    </font>
    <font>
      <b/>
      <i/>
      <sz val="12"/>
      <name val="Times New Roman"/>
      <family val="1"/>
    </font>
    <font>
      <b/>
      <sz val="10"/>
      <color theme="1"/>
      <name val="Times New Roman"/>
      <family val="1"/>
    </font>
    <font>
      <sz val="12"/>
      <color theme="1"/>
      <name val="Times New Roman"/>
      <family val="1"/>
      <charset val="163"/>
    </font>
    <font>
      <b/>
      <sz val="12"/>
      <color theme="1"/>
      <name val="Times New Roman"/>
      <family val="1"/>
      <charset val="163"/>
    </font>
    <font>
      <sz val="11"/>
      <color theme="1"/>
      <name val="Times New Roman"/>
      <family val="1"/>
    </font>
    <font>
      <b/>
      <sz val="9"/>
      <name val="Tahoma"/>
      <family val="2"/>
    </font>
    <font>
      <sz val="9"/>
      <name val="Tahoma"/>
      <family val="2"/>
    </font>
    <font>
      <b/>
      <sz val="12"/>
      <color indexed="8"/>
      <name val="Times New Roman"/>
      <family val="1"/>
    </font>
    <font>
      <sz val="12"/>
      <color indexed="8"/>
      <name val="Times New Roman"/>
      <family val="1"/>
    </font>
    <font>
      <b/>
      <sz val="12"/>
      <color rgb="FF000000"/>
      <name val="Times New Roman"/>
      <family val="1"/>
    </font>
    <font>
      <b/>
      <sz val="13"/>
      <color theme="1"/>
      <name val="Times New Roman"/>
      <family val="1"/>
    </font>
    <font>
      <sz val="13"/>
      <color theme="1"/>
      <name val="Times New Roman"/>
      <family val="1"/>
    </font>
    <font>
      <b/>
      <i/>
      <sz val="13"/>
      <color theme="1"/>
      <name val="Times New Roman"/>
      <family val="1"/>
    </font>
    <font>
      <i/>
      <sz val="13"/>
      <color theme="1"/>
      <name val="Times New Roman"/>
      <family val="1"/>
    </font>
    <font>
      <b/>
      <i/>
      <sz val="12"/>
      <color theme="1"/>
      <name val="Times New Roman"/>
      <family val="1"/>
      <charset val="163"/>
    </font>
    <font>
      <sz val="12"/>
      <name val="Times New Roman"/>
      <family val="1"/>
      <charset val="163"/>
    </font>
    <font>
      <sz val="12"/>
      <color indexed="8"/>
      <name val="Times New Roman"/>
      <family val="1"/>
      <charset val="163"/>
    </font>
    <font>
      <sz val="12"/>
      <color theme="1"/>
      <name val="Calibri Light"/>
      <family val="1"/>
      <charset val="163"/>
      <scheme val="major"/>
    </font>
    <font>
      <b/>
      <sz val="12"/>
      <color indexed="8"/>
      <name val="Times New Roman"/>
      <family val="1"/>
      <charset val="163"/>
    </font>
    <font>
      <b/>
      <sz val="11"/>
      <color theme="1"/>
      <name val="Times New Roman"/>
      <family val="1"/>
    </font>
    <font>
      <sz val="11"/>
      <color indexed="8"/>
      <name val="Calibri"/>
      <family val="2"/>
    </font>
    <font>
      <sz val="12"/>
      <color rgb="FFFF0000"/>
      <name val="Times New Roman"/>
      <family val="1"/>
      <charset val="163"/>
    </font>
    <font>
      <sz val="10"/>
      <name val=".VnTime"/>
      <family val="2"/>
    </font>
    <font>
      <sz val="13"/>
      <name val="Times New Roman"/>
      <family val="1"/>
    </font>
    <font>
      <b/>
      <i/>
      <sz val="13"/>
      <name val="Times New Roman"/>
      <family val="1"/>
    </font>
    <font>
      <sz val="12"/>
      <color indexed="10"/>
      <name val="Times New Roman"/>
      <family val="1"/>
    </font>
    <font>
      <i/>
      <sz val="14"/>
      <color theme="1"/>
      <name val="Times New Roman"/>
      <family val="1"/>
    </font>
    <font>
      <b/>
      <sz val="12"/>
      <name val="Times New Roman"/>
      <family val="1"/>
      <charset val="163"/>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indexed="9"/>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bottom/>
      <diagonal/>
    </border>
  </borders>
  <cellStyleXfs count="5">
    <xf numFmtId="0" fontId="0" fillId="0" borderId="0"/>
    <xf numFmtId="0" fontId="4" fillId="0" borderId="0"/>
    <xf numFmtId="43" fontId="5" fillId="0" borderId="0" applyFont="0" applyFill="0" applyBorder="0" applyAlignment="0" applyProtection="0"/>
    <xf numFmtId="0" fontId="34" fillId="0" borderId="0"/>
    <xf numFmtId="0" fontId="36" fillId="0" borderId="0"/>
  </cellStyleXfs>
  <cellXfs count="607">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horizontal="left" vertical="center" wrapText="1"/>
    </xf>
    <xf numFmtId="3" fontId="1" fillId="0" borderId="0" xfId="0" applyNumberFormat="1" applyFont="1" applyAlignment="1">
      <alignment horizontal="center" vertical="center"/>
    </xf>
    <xf numFmtId="3" fontId="3" fillId="0" borderId="0" xfId="0" applyNumberFormat="1" applyFont="1" applyAlignment="1">
      <alignment horizontal="center" vertical="center"/>
    </xf>
    <xf numFmtId="3"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4" fontId="2" fillId="0" borderId="1" xfId="0" applyNumberFormat="1" applyFont="1" applyBorder="1" applyAlignment="1">
      <alignment horizontal="righ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vertical="center" wrapText="1"/>
    </xf>
    <xf numFmtId="0" fontId="1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Border="1" applyAlignment="1">
      <alignment wrapText="1"/>
    </xf>
    <xf numFmtId="0" fontId="10" fillId="0" borderId="1" xfId="0" applyFont="1" applyBorder="1" applyAlignment="1">
      <alignment wrapText="1"/>
    </xf>
    <xf numFmtId="0" fontId="1" fillId="4" borderId="1" xfId="0" quotePrefix="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1" fillId="4" borderId="0" xfId="0" applyFont="1" applyFill="1" applyAlignment="1">
      <alignment horizontal="center" vertical="center" wrapText="1"/>
    </xf>
    <xf numFmtId="0" fontId="11"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11" fillId="4" borderId="1" xfId="0" applyFont="1" applyFill="1" applyBorder="1" applyAlignment="1">
      <alignment vertical="center" wrapText="1"/>
    </xf>
    <xf numFmtId="3" fontId="1" fillId="4" borderId="1" xfId="0" applyNumberFormat="1" applyFont="1" applyFill="1" applyBorder="1" applyAlignment="1">
      <alignment horizontal="center" vertical="center" wrapText="1"/>
    </xf>
    <xf numFmtId="0" fontId="2" fillId="4" borderId="1" xfId="0" quotePrefix="1" applyFont="1" applyFill="1" applyBorder="1" applyAlignment="1">
      <alignment horizontal="center" vertical="center" wrapText="1"/>
    </xf>
    <xf numFmtId="0" fontId="1" fillId="4" borderId="0" xfId="0" applyFont="1" applyFill="1" applyAlignment="1">
      <alignment horizontal="center" vertical="center"/>
    </xf>
    <xf numFmtId="0" fontId="3"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0" quotePrefix="1" applyFont="1" applyFill="1" applyBorder="1" applyAlignment="1">
      <alignment horizontal="center" vertical="center" wrapText="1"/>
    </xf>
    <xf numFmtId="0" fontId="3" fillId="4" borderId="1" xfId="0" applyFont="1" applyFill="1" applyBorder="1" applyAlignment="1">
      <alignment vertical="center" wrapText="1"/>
    </xf>
    <xf numFmtId="0" fontId="2" fillId="4" borderId="1" xfId="0" applyFont="1" applyFill="1" applyBorder="1" applyAlignment="1">
      <alignment vertical="center" wrapText="1"/>
    </xf>
    <xf numFmtId="0" fontId="10" fillId="4" borderId="1" xfId="0" applyFont="1" applyFill="1" applyBorder="1" applyAlignment="1">
      <alignment vertical="center" wrapText="1"/>
    </xf>
    <xf numFmtId="0" fontId="1" fillId="4" borderId="1" xfId="0" applyFont="1" applyFill="1" applyBorder="1" applyAlignment="1">
      <alignment wrapText="1"/>
    </xf>
    <xf numFmtId="0" fontId="10" fillId="4" borderId="1" xfId="0" applyFont="1" applyFill="1" applyBorder="1" applyAlignment="1">
      <alignment wrapText="1"/>
    </xf>
    <xf numFmtId="0" fontId="1" fillId="4" borderId="1" xfId="0" applyFont="1" applyFill="1" applyBorder="1" applyAlignment="1">
      <alignment horizontal="left" vertical="center" wrapText="1"/>
    </xf>
    <xf numFmtId="4" fontId="1" fillId="4" borderId="1" xfId="0" applyNumberFormat="1" applyFont="1" applyFill="1" applyBorder="1" applyAlignment="1">
      <alignment horizontal="right" vertical="center" wrapText="1"/>
    </xf>
    <xf numFmtId="4" fontId="1" fillId="0" borderId="1" xfId="0" applyNumberFormat="1" applyFont="1" applyBorder="1" applyAlignment="1">
      <alignment horizontal="right" vertical="center" wrapText="1"/>
    </xf>
    <xf numFmtId="4" fontId="10" fillId="0" borderId="1" xfId="0" applyNumberFormat="1" applyFont="1" applyBorder="1" applyAlignment="1">
      <alignment horizontal="right" vertical="center" wrapText="1"/>
    </xf>
    <xf numFmtId="0" fontId="1" fillId="0" borderId="1" xfId="0" applyFont="1" applyBorder="1" applyAlignment="1">
      <alignment horizontal="center" vertical="center"/>
    </xf>
    <xf numFmtId="4" fontId="1" fillId="0" borderId="1" xfId="0" applyNumberFormat="1" applyFont="1" applyFill="1" applyBorder="1" applyAlignment="1">
      <alignment horizontal="right" vertical="center" wrapText="1"/>
    </xf>
    <xf numFmtId="3" fontId="1"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wrapText="1"/>
    </xf>
    <xf numFmtId="0" fontId="2" fillId="0" borderId="0" xfId="0" applyFont="1" applyAlignment="1">
      <alignment horizontal="left" vertical="center" wrapText="1"/>
    </xf>
    <xf numFmtId="0" fontId="1" fillId="0" borderId="0" xfId="0" applyFont="1" applyAlignment="1">
      <alignment vertical="center" wrapText="1"/>
    </xf>
    <xf numFmtId="0" fontId="2" fillId="0" borderId="0" xfId="0" applyFont="1" applyAlignment="1">
      <alignment vertical="center" wrapText="1"/>
    </xf>
    <xf numFmtId="0" fontId="10" fillId="0" borderId="0" xfId="0" applyFont="1" applyAlignment="1">
      <alignment vertical="center" wrapText="1"/>
    </xf>
    <xf numFmtId="3" fontId="1" fillId="0" borderId="1" xfId="0" applyNumberFormat="1" applyFont="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3" fontId="2" fillId="5" borderId="1"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165" fontId="1" fillId="0" borderId="1" xfId="2"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 fillId="0" borderId="1" xfId="0" quotePrefix="1" applyFont="1" applyFill="1" applyBorder="1" applyAlignment="1">
      <alignment horizontal="center" vertical="center" wrapText="1"/>
    </xf>
    <xf numFmtId="0" fontId="1" fillId="0" borderId="1" xfId="0" applyFont="1" applyFill="1" applyBorder="1" applyAlignment="1">
      <alignment horizontal="left" vertical="center" wrapText="1"/>
    </xf>
    <xf numFmtId="3" fontId="1" fillId="0" borderId="1" xfId="0" applyNumberFormat="1" applyFont="1" applyFill="1" applyBorder="1" applyAlignment="1">
      <alignment horizontal="right"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1" fillId="0" borderId="0" xfId="0" applyFont="1" applyFill="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 fillId="0" borderId="1" xfId="0" applyFont="1" applyFill="1" applyBorder="1" applyAlignment="1">
      <alignment wrapText="1"/>
    </xf>
    <xf numFmtId="0" fontId="10" fillId="0" borderId="1" xfId="0" applyFont="1" applyFill="1" applyBorder="1" applyAlignment="1">
      <alignment wrapText="1"/>
    </xf>
    <xf numFmtId="0" fontId="18" fillId="0" borderId="1" xfId="0" applyFont="1" applyFill="1" applyBorder="1" applyAlignment="1">
      <alignment vertical="center" wrapText="1"/>
    </xf>
    <xf numFmtId="0" fontId="11"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4" borderId="1" xfId="0" applyFont="1" applyFill="1" applyBorder="1" applyAlignment="1">
      <alignment wrapText="1"/>
    </xf>
    <xf numFmtId="3" fontId="11" fillId="4" borderId="1" xfId="0" applyNumberFormat="1"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4" fontId="2" fillId="4" borderId="1" xfId="0" applyNumberFormat="1" applyFont="1" applyFill="1" applyBorder="1" applyAlignment="1">
      <alignment horizontal="right" vertical="center" wrapText="1"/>
    </xf>
    <xf numFmtId="0" fontId="1" fillId="4"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4" fontId="10" fillId="4" borderId="1" xfId="0" applyNumberFormat="1" applyFont="1" applyFill="1" applyBorder="1" applyAlignment="1">
      <alignment horizontal="right" vertical="center" wrapText="1"/>
    </xf>
    <xf numFmtId="0" fontId="18" fillId="4" borderId="1" xfId="0" applyFont="1" applyFill="1" applyBorder="1" applyAlignment="1">
      <alignment vertical="center" wrapText="1"/>
    </xf>
    <xf numFmtId="3" fontId="3" fillId="0" borderId="1" xfId="0" applyNumberFormat="1"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justify" vertical="center"/>
    </xf>
    <xf numFmtId="3" fontId="10" fillId="0" borderId="1" xfId="0" applyNumberFormat="1" applyFont="1" applyBorder="1" applyAlignment="1">
      <alignment horizontal="center" vertical="center" wrapText="1"/>
    </xf>
    <xf numFmtId="165" fontId="2" fillId="0" borderId="1" xfId="2" applyNumberFormat="1" applyFont="1" applyBorder="1" applyAlignment="1">
      <alignment horizontal="center" vertical="center" wrapText="1"/>
    </xf>
    <xf numFmtId="0" fontId="1" fillId="0" borderId="1" xfId="0" applyFont="1" applyBorder="1" applyAlignment="1">
      <alignment horizontal="right" vertical="center" wrapText="1"/>
    </xf>
    <xf numFmtId="0" fontId="3" fillId="0" borderId="1" xfId="0" applyFont="1" applyBorder="1" applyAlignment="1">
      <alignment horizontal="right" vertical="center" wrapText="1"/>
    </xf>
    <xf numFmtId="1" fontId="2" fillId="0" borderId="1" xfId="0" applyNumberFormat="1" applyFont="1" applyBorder="1" applyAlignment="1">
      <alignment horizontal="right" vertical="center" wrapText="1"/>
    </xf>
    <xf numFmtId="1" fontId="1" fillId="4" borderId="1" xfId="0" applyNumberFormat="1" applyFont="1" applyFill="1" applyBorder="1" applyAlignment="1">
      <alignment horizontal="right" vertical="center" wrapText="1"/>
    </xf>
    <xf numFmtId="2" fontId="3" fillId="0" borderId="1" xfId="0" applyNumberFormat="1" applyFont="1" applyBorder="1" applyAlignment="1">
      <alignment horizontal="right" vertical="center" wrapText="1"/>
    </xf>
    <xf numFmtId="166" fontId="2" fillId="0" borderId="1" xfId="2" applyNumberFormat="1" applyFont="1" applyBorder="1" applyAlignment="1">
      <alignment horizontal="right" vertical="center" wrapText="1"/>
    </xf>
    <xf numFmtId="0" fontId="10" fillId="0" borderId="1" xfId="0" applyFont="1" applyBorder="1" applyAlignment="1">
      <alignment horizontal="right" vertical="center" wrapText="1"/>
    </xf>
    <xf numFmtId="0" fontId="1" fillId="4" borderId="1" xfId="0" applyFont="1" applyFill="1" applyBorder="1" applyAlignment="1">
      <alignment horizontal="right" vertical="center" wrapText="1"/>
    </xf>
    <xf numFmtId="0" fontId="2" fillId="4" borderId="1"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10" fillId="4" borderId="1" xfId="0" applyFont="1" applyFill="1" applyBorder="1" applyAlignment="1">
      <alignment horizontal="right" vertical="center" wrapText="1"/>
    </xf>
    <xf numFmtId="0" fontId="1" fillId="0" borderId="1" xfId="0" applyFont="1" applyFill="1" applyBorder="1" applyAlignment="1">
      <alignment horizontal="right" vertical="center" wrapText="1"/>
    </xf>
    <xf numFmtId="3" fontId="2" fillId="3" borderId="1"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4" fontId="10" fillId="0" borderId="1" xfId="0" applyNumberFormat="1" applyFont="1" applyFill="1" applyBorder="1" applyAlignment="1">
      <alignment horizontal="right" vertical="center" wrapText="1"/>
    </xf>
    <xf numFmtId="4" fontId="3" fillId="4" borderId="1" xfId="0" applyNumberFormat="1" applyFont="1" applyFill="1" applyBorder="1" applyAlignment="1">
      <alignment horizontal="right" vertical="center" wrapText="1"/>
    </xf>
    <xf numFmtId="167" fontId="2" fillId="4" borderId="1" xfId="0" applyNumberFormat="1" applyFont="1" applyFill="1" applyBorder="1" applyAlignment="1">
      <alignment horizontal="right" vertical="center" wrapText="1"/>
    </xf>
    <xf numFmtId="1" fontId="10" fillId="4" borderId="1" xfId="0" applyNumberFormat="1" applyFont="1" applyFill="1" applyBorder="1" applyAlignment="1">
      <alignment horizontal="right" vertical="center" wrapText="1"/>
    </xf>
    <xf numFmtId="2" fontId="2" fillId="0" borderId="1" xfId="0" applyNumberFormat="1" applyFont="1" applyBorder="1" applyAlignment="1">
      <alignment horizontal="right" vertical="center" wrapText="1"/>
    </xf>
    <xf numFmtId="166" fontId="2" fillId="4" borderId="1" xfId="2" applyNumberFormat="1" applyFont="1" applyFill="1" applyBorder="1" applyAlignment="1">
      <alignment horizontal="right" vertical="center" wrapText="1"/>
    </xf>
    <xf numFmtId="0" fontId="1" fillId="0" borderId="1" xfId="0" quotePrefix="1" applyFont="1" applyBorder="1" applyAlignment="1">
      <alignment horizontal="center" vertical="center" wrapText="1"/>
    </xf>
    <xf numFmtId="43" fontId="2" fillId="5" borderId="1" xfId="2" applyNumberFormat="1" applyFont="1" applyFill="1" applyBorder="1" applyAlignment="1">
      <alignment horizontal="right" vertical="center" wrapText="1"/>
    </xf>
    <xf numFmtId="43" fontId="2" fillId="3" borderId="1" xfId="0" applyNumberFormat="1" applyFont="1" applyFill="1" applyBorder="1" applyAlignment="1">
      <alignment horizontal="right" vertical="center" wrapText="1"/>
    </xf>
    <xf numFmtId="164" fontId="1" fillId="0" borderId="1" xfId="0" applyNumberFormat="1" applyFont="1" applyBorder="1" applyAlignment="1">
      <alignment horizontal="right" vertical="center" wrapText="1"/>
    </xf>
    <xf numFmtId="164" fontId="1" fillId="4" borderId="1" xfId="0" applyNumberFormat="1" applyFont="1" applyFill="1" applyBorder="1" applyAlignment="1">
      <alignment horizontal="right" vertical="center" wrapText="1"/>
    </xf>
    <xf numFmtId="3" fontId="3" fillId="0" borderId="1" xfId="0" applyNumberFormat="1" applyFont="1" applyBorder="1" applyAlignment="1">
      <alignment horizontal="right" vertical="center" wrapText="1"/>
    </xf>
    <xf numFmtId="3" fontId="1" fillId="4" borderId="1" xfId="0" applyNumberFormat="1" applyFont="1" applyFill="1" applyBorder="1" applyAlignment="1">
      <alignment horizontal="right" vertical="center" wrapText="1"/>
    </xf>
    <xf numFmtId="0" fontId="10" fillId="0" borderId="1" xfId="0" quotePrefix="1" applyFont="1" applyBorder="1" applyAlignment="1">
      <alignment horizontal="center" vertical="center" wrapText="1"/>
    </xf>
    <xf numFmtId="3" fontId="10" fillId="0" borderId="1" xfId="0" applyNumberFormat="1" applyFont="1" applyBorder="1" applyAlignment="1">
      <alignment horizontal="right" vertical="center" wrapText="1"/>
    </xf>
    <xf numFmtId="164" fontId="2" fillId="3" borderId="1" xfId="0" applyNumberFormat="1" applyFont="1" applyFill="1" applyBorder="1" applyAlignment="1">
      <alignment horizontal="right" vertical="center" wrapText="1"/>
    </xf>
    <xf numFmtId="164" fontId="1" fillId="0" borderId="1" xfId="0" applyNumberFormat="1" applyFont="1" applyFill="1" applyBorder="1" applyAlignment="1">
      <alignment horizontal="right" vertical="center" wrapText="1"/>
    </xf>
    <xf numFmtId="164" fontId="10" fillId="0" borderId="1" xfId="0" applyNumberFormat="1" applyFont="1" applyFill="1" applyBorder="1" applyAlignment="1">
      <alignment horizontal="right" vertical="center" wrapText="1"/>
    </xf>
    <xf numFmtId="0" fontId="10" fillId="0" borderId="1" xfId="0" quotePrefix="1" applyFont="1" applyFill="1" applyBorder="1" applyAlignment="1">
      <alignment horizontal="center" vertical="center" wrapText="1"/>
    </xf>
    <xf numFmtId="0" fontId="12" fillId="4" borderId="1" xfId="0" quotePrefix="1" applyFont="1" applyFill="1" applyBorder="1" applyAlignment="1">
      <alignment horizontal="center" vertical="center" wrapText="1"/>
    </xf>
    <xf numFmtId="3" fontId="12" fillId="4" borderId="1" xfId="0" applyNumberFormat="1" applyFont="1" applyFill="1" applyBorder="1" applyAlignment="1">
      <alignment horizontal="right" vertical="center" wrapText="1"/>
    </xf>
    <xf numFmtId="3" fontId="11" fillId="4" borderId="1" xfId="0" applyNumberFormat="1" applyFont="1" applyFill="1" applyBorder="1" applyAlignment="1">
      <alignment horizontal="right" vertical="center" wrapText="1"/>
    </xf>
    <xf numFmtId="4" fontId="2" fillId="3" borderId="1" xfId="0" applyNumberFormat="1" applyFont="1" applyFill="1" applyBorder="1" applyAlignment="1">
      <alignment horizontal="right" vertical="center" wrapText="1"/>
    </xf>
    <xf numFmtId="0" fontId="1" fillId="4" borderId="5" xfId="0" quotePrefix="1" applyFont="1" applyFill="1" applyBorder="1" applyAlignment="1">
      <alignment horizontal="center" vertical="center" wrapText="1"/>
    </xf>
    <xf numFmtId="164" fontId="2" fillId="4" borderId="1" xfId="0" applyNumberFormat="1" applyFont="1" applyFill="1" applyBorder="1" applyAlignment="1">
      <alignment horizontal="right" vertical="center" wrapText="1"/>
    </xf>
    <xf numFmtId="3" fontId="2" fillId="4" borderId="1" xfId="0" applyNumberFormat="1" applyFont="1" applyFill="1" applyBorder="1" applyAlignment="1">
      <alignment horizontal="right" vertical="center" wrapText="1"/>
    </xf>
    <xf numFmtId="0" fontId="10" fillId="4" borderId="5" xfId="0" quotePrefix="1" applyFont="1" applyFill="1" applyBorder="1" applyAlignment="1">
      <alignment horizontal="center" vertical="center" wrapText="1"/>
    </xf>
    <xf numFmtId="3" fontId="10" fillId="4" borderId="1" xfId="0" applyNumberFormat="1" applyFont="1" applyFill="1" applyBorder="1" applyAlignment="1">
      <alignment horizontal="right" vertical="center" wrapText="1"/>
    </xf>
    <xf numFmtId="0" fontId="2" fillId="0" borderId="1" xfId="0" quotePrefix="1" applyFont="1" applyBorder="1" applyAlignment="1">
      <alignment horizontal="center" vertical="center" wrapText="1"/>
    </xf>
    <xf numFmtId="0" fontId="2" fillId="0" borderId="0" xfId="0" applyFont="1" applyAlignment="1">
      <alignment horizontal="center" vertical="center" wrapText="1"/>
    </xf>
    <xf numFmtId="0" fontId="22" fillId="4" borderId="1" xfId="0" quotePrefix="1" applyFont="1" applyFill="1" applyBorder="1" applyAlignment="1">
      <alignment horizontal="center" vertical="center" wrapText="1"/>
    </xf>
    <xf numFmtId="0" fontId="24"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165" fontId="16" fillId="0" borderId="1" xfId="2" applyNumberFormat="1" applyFont="1" applyBorder="1" applyAlignment="1">
      <alignment horizontal="center" vertical="center" wrapText="1"/>
    </xf>
    <xf numFmtId="0" fontId="22" fillId="0" borderId="1" xfId="0" quotePrefix="1" applyFont="1" applyBorder="1" applyAlignment="1">
      <alignment horizontal="center" vertical="center" wrapText="1"/>
    </xf>
    <xf numFmtId="165" fontId="1" fillId="0" borderId="1" xfId="2" applyNumberFormat="1" applyFont="1" applyBorder="1" applyAlignment="1">
      <alignment horizontal="center" vertical="center" wrapText="1"/>
    </xf>
    <xf numFmtId="165" fontId="1" fillId="4" borderId="1" xfId="2" applyNumberFormat="1" applyFont="1" applyFill="1" applyBorder="1" applyAlignment="1">
      <alignment horizontal="center" vertical="center" wrapText="1"/>
    </xf>
    <xf numFmtId="0" fontId="25" fillId="0" borderId="1" xfId="0" quotePrefix="1" applyFont="1" applyBorder="1" applyAlignment="1">
      <alignment horizontal="center" vertical="center" wrapText="1"/>
    </xf>
    <xf numFmtId="0" fontId="25" fillId="0" borderId="1" xfId="0" applyFont="1" applyBorder="1" applyAlignment="1">
      <alignment horizontal="left" vertical="center" wrapText="1"/>
    </xf>
    <xf numFmtId="0" fontId="24" fillId="0" borderId="1" xfId="0" quotePrefix="1" applyFont="1" applyBorder="1" applyAlignment="1">
      <alignment horizontal="center" vertical="center" wrapText="1"/>
    </xf>
    <xf numFmtId="0" fontId="24" fillId="0" borderId="1" xfId="0" applyFont="1" applyBorder="1" applyAlignment="1">
      <alignment horizontal="left" vertical="center" wrapText="1"/>
    </xf>
    <xf numFmtId="0" fontId="26" fillId="0" borderId="1" xfId="0" quotePrefix="1" applyFont="1" applyBorder="1" applyAlignment="1">
      <alignment horizontal="center" vertical="center" wrapText="1"/>
    </xf>
    <xf numFmtId="0" fontId="26" fillId="0" borderId="1" xfId="0" applyFont="1" applyBorder="1" applyAlignment="1">
      <alignment horizontal="left" vertical="center" wrapText="1"/>
    </xf>
    <xf numFmtId="0" fontId="25" fillId="4" borderId="1" xfId="0" quotePrefix="1" applyFont="1" applyFill="1" applyBorder="1" applyAlignment="1">
      <alignment horizontal="center" vertical="center" wrapText="1"/>
    </xf>
    <xf numFmtId="0" fontId="24" fillId="4" borderId="1"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25" fillId="0" borderId="5" xfId="0" applyFont="1" applyBorder="1" applyAlignment="1">
      <alignment horizontal="left" vertical="center" wrapText="1"/>
    </xf>
    <xf numFmtId="0" fontId="0" fillId="4" borderId="1" xfId="0" quotePrefix="1" applyFont="1" applyFill="1" applyBorder="1" applyAlignment="1">
      <alignment horizontal="center" vertical="center" wrapText="1"/>
    </xf>
    <xf numFmtId="0" fontId="25" fillId="4" borderId="5" xfId="0" applyFont="1" applyFill="1" applyBorder="1" applyAlignment="1">
      <alignment horizontal="left" vertical="center" wrapText="1"/>
    </xf>
    <xf numFmtId="0" fontId="24" fillId="0" borderId="5" xfId="0" applyFont="1" applyBorder="1" applyAlignment="1">
      <alignment vertical="center" wrapText="1"/>
    </xf>
    <xf numFmtId="0" fontId="27" fillId="0" borderId="5" xfId="0" applyFont="1" applyBorder="1" applyAlignment="1">
      <alignment vertical="center" wrapText="1"/>
    </xf>
    <xf numFmtId="0" fontId="25" fillId="0" borderId="5" xfId="0" applyFont="1" applyBorder="1" applyAlignment="1">
      <alignment vertical="center" wrapText="1"/>
    </xf>
    <xf numFmtId="164" fontId="2" fillId="4" borderId="1" xfId="2" applyNumberFormat="1" applyFont="1" applyFill="1" applyBorder="1" applyAlignment="1">
      <alignment vertical="center" wrapText="1"/>
    </xf>
    <xf numFmtId="164" fontId="16" fillId="4" borderId="1" xfId="2" applyNumberFormat="1" applyFont="1" applyFill="1" applyBorder="1" applyAlignment="1">
      <alignment vertical="center" wrapText="1"/>
    </xf>
    <xf numFmtId="164" fontId="1" fillId="4" borderId="1" xfId="2" applyNumberFormat="1" applyFont="1" applyFill="1" applyBorder="1" applyAlignment="1">
      <alignment vertical="center" wrapText="1"/>
    </xf>
    <xf numFmtId="164" fontId="12" fillId="4" borderId="1" xfId="2" applyNumberFormat="1" applyFont="1" applyFill="1" applyBorder="1" applyAlignment="1">
      <alignment vertical="center" wrapText="1"/>
    </xf>
    <xf numFmtId="164" fontId="17" fillId="4" borderId="1" xfId="2" applyNumberFormat="1" applyFont="1" applyFill="1" applyBorder="1" applyAlignment="1">
      <alignment vertical="center" wrapText="1"/>
    </xf>
    <xf numFmtId="164" fontId="2" fillId="0" borderId="1" xfId="2" applyNumberFormat="1" applyFont="1" applyBorder="1" applyAlignment="1">
      <alignment horizontal="right" vertical="center" wrapText="1"/>
    </xf>
    <xf numFmtId="164" fontId="1" fillId="0" borderId="1" xfId="2" applyNumberFormat="1" applyFont="1" applyBorder="1" applyAlignment="1">
      <alignment horizontal="right" vertical="center" wrapText="1"/>
    </xf>
    <xf numFmtId="164" fontId="1" fillId="4" borderId="1" xfId="2" applyNumberFormat="1" applyFont="1" applyFill="1" applyBorder="1" applyAlignment="1">
      <alignment horizontal="right" vertical="center" wrapText="1"/>
    </xf>
    <xf numFmtId="164" fontId="12" fillId="4" borderId="1" xfId="2" applyNumberFormat="1" applyFont="1" applyFill="1" applyBorder="1" applyAlignment="1">
      <alignment horizontal="right" vertical="center" wrapText="1"/>
    </xf>
    <xf numFmtId="164" fontId="1" fillId="0" borderId="1" xfId="0" applyNumberFormat="1" applyFont="1" applyBorder="1" applyAlignment="1">
      <alignment horizontal="right" vertical="center"/>
    </xf>
    <xf numFmtId="164" fontId="2" fillId="4" borderId="1" xfId="2" applyNumberFormat="1" applyFont="1" applyFill="1" applyBorder="1" applyAlignment="1">
      <alignment horizontal="right" vertical="center" wrapText="1"/>
    </xf>
    <xf numFmtId="164" fontId="1" fillId="0" borderId="0" xfId="0" applyNumberFormat="1" applyFont="1" applyAlignment="1">
      <alignment horizontal="right" vertical="center"/>
    </xf>
    <xf numFmtId="3" fontId="2" fillId="0" borderId="1" xfId="2" applyNumberFormat="1" applyFont="1" applyBorder="1" applyAlignment="1">
      <alignment horizontal="right" vertical="center" wrapText="1"/>
    </xf>
    <xf numFmtId="3" fontId="16" fillId="0" borderId="1" xfId="2" applyNumberFormat="1" applyFont="1" applyBorder="1" applyAlignment="1">
      <alignment horizontal="right" vertical="center" wrapText="1"/>
    </xf>
    <xf numFmtId="164" fontId="2" fillId="5" borderId="1" xfId="0" applyNumberFormat="1" applyFont="1" applyFill="1" applyBorder="1" applyAlignment="1">
      <alignment horizontal="right" vertical="center" wrapText="1"/>
    </xf>
    <xf numFmtId="3" fontId="2" fillId="4" borderId="1" xfId="2" applyNumberFormat="1" applyFont="1" applyFill="1" applyBorder="1" applyAlignment="1">
      <alignment horizontal="right" vertical="center" wrapText="1"/>
    </xf>
    <xf numFmtId="0" fontId="1" fillId="4" borderId="1" xfId="0" applyFont="1" applyFill="1" applyBorder="1" applyAlignment="1">
      <alignment horizontal="left" vertical="center"/>
    </xf>
    <xf numFmtId="164" fontId="1" fillId="4" borderId="1" xfId="0" applyNumberFormat="1" applyFont="1" applyFill="1" applyBorder="1" applyAlignment="1">
      <alignment horizontal="right" vertical="center"/>
    </xf>
    <xf numFmtId="0" fontId="1" fillId="4" borderId="1" xfId="0" applyFont="1" applyFill="1" applyBorder="1" applyAlignment="1">
      <alignment horizontal="center" vertical="center"/>
    </xf>
    <xf numFmtId="3" fontId="1" fillId="4" borderId="1" xfId="0" applyNumberFormat="1" applyFont="1" applyFill="1" applyBorder="1" applyAlignment="1">
      <alignment horizontal="right" vertical="center"/>
    </xf>
    <xf numFmtId="3" fontId="1" fillId="4" borderId="1" xfId="2" applyNumberFormat="1" applyFont="1" applyFill="1" applyBorder="1" applyAlignment="1">
      <alignment horizontal="right" vertical="center" wrapText="1"/>
    </xf>
    <xf numFmtId="3" fontId="1" fillId="0" borderId="1" xfId="2" applyNumberFormat="1" applyFont="1" applyBorder="1" applyAlignment="1">
      <alignment horizontal="right" vertical="center" wrapText="1"/>
    </xf>
    <xf numFmtId="164" fontId="11" fillId="4" borderId="1" xfId="2" applyNumberFormat="1" applyFont="1" applyFill="1" applyBorder="1" applyAlignment="1">
      <alignment horizontal="right" vertical="center" wrapText="1"/>
    </xf>
    <xf numFmtId="0" fontId="24" fillId="4" borderId="1" xfId="0" quotePrefix="1"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1" xfId="0" applyFont="1" applyFill="1" applyBorder="1" applyAlignment="1">
      <alignment horizontal="left" vertical="center" wrapText="1"/>
    </xf>
    <xf numFmtId="0" fontId="24" fillId="4" borderId="1" xfId="0" applyFont="1" applyFill="1" applyBorder="1" applyAlignment="1">
      <alignment vertical="center" wrapText="1"/>
    </xf>
    <xf numFmtId="0" fontId="24" fillId="4" borderId="1" xfId="0" quotePrefix="1" applyFont="1" applyFill="1" applyBorder="1" applyAlignment="1">
      <alignment horizontal="center"/>
    </xf>
    <xf numFmtId="0" fontId="25" fillId="4" borderId="1" xfId="0" applyFont="1" applyFill="1" applyBorder="1" applyAlignment="1">
      <alignment horizontal="left"/>
    </xf>
    <xf numFmtId="0" fontId="25" fillId="4" borderId="1" xfId="0" applyFont="1" applyFill="1" applyBorder="1" applyAlignment="1">
      <alignment vertical="center" wrapText="1"/>
    </xf>
    <xf numFmtId="0" fontId="24" fillId="4" borderId="1" xfId="0" applyFont="1" applyFill="1" applyBorder="1" applyAlignment="1">
      <alignment horizontal="left" wrapText="1"/>
    </xf>
    <xf numFmtId="0" fontId="26" fillId="4" borderId="1" xfId="0" quotePrefix="1" applyFont="1" applyFill="1" applyBorder="1" applyAlignment="1">
      <alignment horizontal="center" vertical="center" wrapText="1"/>
    </xf>
    <xf numFmtId="0" fontId="25" fillId="4" borderId="1" xfId="0" applyFont="1" applyFill="1" applyBorder="1" applyAlignment="1">
      <alignment horizontal="center"/>
    </xf>
    <xf numFmtId="0" fontId="25" fillId="4" borderId="5" xfId="0" applyFont="1" applyFill="1" applyBorder="1" applyAlignment="1">
      <alignment horizontal="center"/>
    </xf>
    <xf numFmtId="165" fontId="2" fillId="4" borderId="1" xfId="2" applyNumberFormat="1" applyFont="1" applyFill="1" applyBorder="1" applyAlignment="1">
      <alignment horizontal="center" vertical="center" wrapText="1"/>
    </xf>
    <xf numFmtId="0" fontId="12" fillId="4" borderId="0" xfId="0" applyFont="1" applyFill="1" applyAlignment="1">
      <alignment horizontal="center" vertical="center"/>
    </xf>
    <xf numFmtId="0" fontId="12" fillId="4" borderId="0" xfId="0" applyFont="1" applyFill="1" applyAlignment="1">
      <alignment horizontal="left" vertical="center"/>
    </xf>
    <xf numFmtId="0" fontId="2" fillId="0" borderId="1" xfId="0" applyFont="1" applyBorder="1" applyAlignment="1">
      <alignment horizontal="center" vertical="center"/>
    </xf>
    <xf numFmtId="166" fontId="1" fillId="4" borderId="1" xfId="2" applyNumberFormat="1" applyFont="1" applyFill="1" applyBorder="1" applyAlignment="1">
      <alignment horizontal="center" vertical="center" wrapText="1"/>
    </xf>
    <xf numFmtId="166" fontId="2" fillId="4" borderId="1" xfId="2" applyNumberFormat="1" applyFont="1" applyFill="1" applyBorder="1" applyAlignment="1">
      <alignment horizontal="center" vertical="center" wrapText="1"/>
    </xf>
    <xf numFmtId="43" fontId="1" fillId="4" borderId="1" xfId="2" applyNumberFormat="1" applyFont="1" applyFill="1" applyBorder="1" applyAlignment="1">
      <alignment horizontal="center" vertical="center" wrapText="1"/>
    </xf>
    <xf numFmtId="43" fontId="2" fillId="4" borderId="1" xfId="2" applyNumberFormat="1" applyFont="1" applyFill="1" applyBorder="1" applyAlignment="1">
      <alignment horizontal="center" vertical="center" wrapText="1"/>
    </xf>
    <xf numFmtId="4" fontId="1" fillId="4" borderId="1" xfId="0" applyNumberFormat="1" applyFont="1" applyFill="1" applyBorder="1" applyAlignment="1">
      <alignment horizontal="right" vertical="center"/>
    </xf>
    <xf numFmtId="3" fontId="2" fillId="4"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165" fontId="17"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2" fontId="16" fillId="0" borderId="1" xfId="0" applyNumberFormat="1" applyFont="1" applyBorder="1" applyAlignment="1">
      <alignment horizontal="left" vertical="center" wrapText="1"/>
    </xf>
    <xf numFmtId="2" fontId="16"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16" fillId="0" borderId="1" xfId="0" quotePrefix="1"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4" borderId="1" xfId="0" quotePrefix="1"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0" borderId="1" xfId="0" quotePrefix="1" applyFont="1" applyBorder="1" applyAlignment="1">
      <alignment horizontal="center" vertical="center" wrapText="1"/>
    </xf>
    <xf numFmtId="0" fontId="29" fillId="0" borderId="1" xfId="0" applyFont="1" applyBorder="1" applyAlignment="1">
      <alignment horizontal="left" vertical="center" wrapText="1"/>
    </xf>
    <xf numFmtId="0" fontId="30" fillId="0" borderId="1" xfId="0" applyFont="1" applyBorder="1" applyAlignment="1">
      <alignment horizontal="center" vertical="center" wrapText="1"/>
    </xf>
    <xf numFmtId="0" fontId="31" fillId="0" borderId="1" xfId="0" applyFont="1" applyBorder="1" applyAlignment="1">
      <alignment horizontal="left" vertical="center" wrapText="1"/>
    </xf>
    <xf numFmtId="0" fontId="30" fillId="0" borderId="1" xfId="0" applyFont="1" applyBorder="1" applyAlignment="1">
      <alignment horizontal="left" vertical="center" wrapText="1"/>
    </xf>
    <xf numFmtId="2" fontId="16" fillId="0" borderId="1" xfId="0" applyNumberFormat="1" applyFont="1" applyBorder="1" applyAlignment="1">
      <alignmen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165" fontId="17" fillId="2" borderId="1" xfId="2" applyNumberFormat="1" applyFont="1" applyFill="1" applyBorder="1" applyAlignment="1">
      <alignment horizontal="center" vertical="center" wrapText="1"/>
    </xf>
    <xf numFmtId="165" fontId="17" fillId="2" borderId="1" xfId="2" applyNumberFormat="1" applyFont="1" applyFill="1" applyBorder="1" applyAlignment="1">
      <alignment horizontal="left" vertical="center" wrapText="1"/>
    </xf>
    <xf numFmtId="165" fontId="16" fillId="2" borderId="1" xfId="2" applyNumberFormat="1" applyFont="1" applyFill="1" applyBorder="1" applyAlignment="1">
      <alignment horizontal="center" vertical="center" wrapText="1"/>
    </xf>
    <xf numFmtId="165" fontId="17" fillId="2" borderId="1" xfId="2" applyNumberFormat="1" applyFont="1" applyFill="1" applyBorder="1" applyAlignment="1">
      <alignment horizontal="right" vertical="center" wrapText="1"/>
    </xf>
    <xf numFmtId="1" fontId="16" fillId="0" borderId="1" xfId="0" applyNumberFormat="1" applyFont="1" applyBorder="1" applyAlignment="1">
      <alignment horizontal="right" vertical="center" wrapText="1"/>
    </xf>
    <xf numFmtId="165" fontId="16" fillId="0" borderId="1" xfId="2" applyNumberFormat="1" applyFont="1" applyBorder="1" applyAlignment="1">
      <alignment horizontal="right" vertical="center" wrapText="1"/>
    </xf>
    <xf numFmtId="165" fontId="17" fillId="0" borderId="1" xfId="2" applyNumberFormat="1" applyFont="1" applyBorder="1" applyAlignment="1">
      <alignment horizontal="right" vertical="center" wrapText="1"/>
    </xf>
    <xf numFmtId="0" fontId="16" fillId="0" borderId="1" xfId="0" applyFont="1" applyBorder="1" applyAlignment="1">
      <alignment horizontal="right" vertical="center" wrapText="1"/>
    </xf>
    <xf numFmtId="165" fontId="28" fillId="0" borderId="1" xfId="2" applyNumberFormat="1" applyFont="1" applyBorder="1" applyAlignment="1">
      <alignment horizontal="right" vertical="center" wrapText="1"/>
    </xf>
    <xf numFmtId="165" fontId="17" fillId="0" borderId="1" xfId="0" applyNumberFormat="1" applyFont="1" applyBorder="1" applyAlignment="1">
      <alignment horizontal="right" vertical="center" wrapText="1"/>
    </xf>
    <xf numFmtId="0" fontId="17" fillId="0" borderId="1" xfId="0" applyFont="1" applyBorder="1" applyAlignment="1">
      <alignment horizontal="right" vertical="center" wrapText="1"/>
    </xf>
    <xf numFmtId="0" fontId="16" fillId="4" borderId="1" xfId="0" applyFont="1" applyFill="1" applyBorder="1" applyAlignment="1">
      <alignment horizontal="right" vertical="center" wrapText="1"/>
    </xf>
    <xf numFmtId="0" fontId="17" fillId="2" borderId="1" xfId="0" applyFont="1" applyFill="1" applyBorder="1" applyAlignment="1">
      <alignment horizontal="right" vertical="center" wrapText="1"/>
    </xf>
    <xf numFmtId="0" fontId="30" fillId="0" borderId="1" xfId="0" applyFont="1" applyBorder="1" applyAlignment="1">
      <alignment horizontal="right" vertical="center" wrapText="1"/>
    </xf>
    <xf numFmtId="0" fontId="29" fillId="4" borderId="1" xfId="0" applyFont="1" applyFill="1" applyBorder="1" applyAlignment="1">
      <alignment vertical="center" wrapText="1"/>
    </xf>
    <xf numFmtId="0" fontId="21" fillId="0" borderId="1" xfId="0" quotePrefix="1" applyFont="1" applyBorder="1" applyAlignment="1">
      <alignment horizontal="center" vertical="center" wrapText="1"/>
    </xf>
    <xf numFmtId="0" fontId="32" fillId="4" borderId="1" xfId="0" quotePrefix="1" applyFont="1" applyFill="1" applyBorder="1" applyAlignment="1">
      <alignment horizontal="center" vertical="center" wrapText="1"/>
    </xf>
    <xf numFmtId="0" fontId="17" fillId="4" borderId="1" xfId="0" applyFont="1" applyFill="1" applyBorder="1" applyAlignment="1">
      <alignment vertical="center" wrapText="1"/>
    </xf>
    <xf numFmtId="0" fontId="21" fillId="4" borderId="1" xfId="0" quotePrefix="1" applyFont="1" applyFill="1" applyBorder="1" applyAlignment="1">
      <alignment horizontal="center" vertical="center" wrapText="1"/>
    </xf>
    <xf numFmtId="0" fontId="11" fillId="4" borderId="1" xfId="0" quotePrefix="1" applyFont="1" applyFill="1" applyBorder="1" applyAlignment="1">
      <alignment horizontal="center" vertical="center" wrapText="1"/>
    </xf>
    <xf numFmtId="0" fontId="0" fillId="0" borderId="0" xfId="0" applyFont="1"/>
    <xf numFmtId="0" fontId="2" fillId="5" borderId="2" xfId="0" applyFont="1" applyFill="1" applyBorder="1" applyAlignment="1">
      <alignment horizontal="center" vertical="center" wrapText="1"/>
    </xf>
    <xf numFmtId="0" fontId="7" fillId="4" borderId="1" xfId="0" applyFont="1" applyFill="1" applyBorder="1" applyAlignment="1">
      <alignment vertical="center" wrapText="1"/>
    </xf>
    <xf numFmtId="3" fontId="18" fillId="4" borderId="1" xfId="0" applyNumberFormat="1" applyFont="1" applyFill="1" applyBorder="1" applyAlignment="1">
      <alignment horizontal="right" vertical="center" wrapText="1"/>
    </xf>
    <xf numFmtId="3" fontId="33" fillId="4" borderId="1" xfId="0" applyNumberFormat="1" applyFont="1" applyFill="1" applyBorder="1" applyAlignment="1">
      <alignment horizontal="right" vertical="center" wrapText="1"/>
    </xf>
    <xf numFmtId="164" fontId="33" fillId="4" borderId="1" xfId="0" applyNumberFormat="1" applyFont="1" applyFill="1" applyBorder="1" applyAlignment="1">
      <alignment horizontal="right" vertical="center" wrapText="1"/>
    </xf>
    <xf numFmtId="164" fontId="18" fillId="4" borderId="1" xfId="0" applyNumberFormat="1" applyFont="1" applyFill="1" applyBorder="1" applyAlignment="1">
      <alignment horizontal="right" vertical="center" wrapText="1"/>
    </xf>
    <xf numFmtId="0" fontId="16" fillId="4" borderId="1" xfId="0" applyFont="1" applyFill="1" applyBorder="1" applyAlignment="1">
      <alignment vertical="center" wrapText="1"/>
    </xf>
    <xf numFmtId="0" fontId="0" fillId="4" borderId="0" xfId="0" applyFill="1"/>
    <xf numFmtId="164" fontId="2" fillId="3" borderId="1" xfId="0" applyNumberFormat="1" applyFont="1" applyFill="1" applyBorder="1" applyAlignment="1">
      <alignment vertical="center" wrapText="1"/>
    </xf>
    <xf numFmtId="164" fontId="2" fillId="0" borderId="1" xfId="2" applyNumberFormat="1" applyFont="1" applyBorder="1" applyAlignment="1">
      <alignment vertical="center" wrapText="1"/>
    </xf>
    <xf numFmtId="164" fontId="17" fillId="0" borderId="1" xfId="2" applyNumberFormat="1" applyFont="1" applyBorder="1" applyAlignment="1">
      <alignment vertical="center" wrapText="1"/>
    </xf>
    <xf numFmtId="164" fontId="1" fillId="0" borderId="1" xfId="2" applyNumberFormat="1" applyFont="1" applyBorder="1" applyAlignment="1">
      <alignment vertical="center" wrapText="1"/>
    </xf>
    <xf numFmtId="3" fontId="2" fillId="0" borderId="1" xfId="2" applyNumberFormat="1" applyFont="1" applyBorder="1" applyAlignment="1">
      <alignment vertical="center" wrapText="1"/>
    </xf>
    <xf numFmtId="3" fontId="16" fillId="0" borderId="1" xfId="2" applyNumberFormat="1" applyFont="1" applyBorder="1" applyAlignment="1">
      <alignment vertical="center" wrapText="1"/>
    </xf>
    <xf numFmtId="3" fontId="16" fillId="4" borderId="1" xfId="2" applyNumberFormat="1" applyFont="1" applyFill="1" applyBorder="1" applyAlignment="1">
      <alignment vertical="center" wrapText="1"/>
    </xf>
    <xf numFmtId="3" fontId="1" fillId="0" borderId="1" xfId="2" applyNumberFormat="1" applyFont="1" applyBorder="1" applyAlignment="1">
      <alignment vertical="center" wrapText="1"/>
    </xf>
    <xf numFmtId="3" fontId="12" fillId="4" borderId="1" xfId="2" applyNumberFormat="1" applyFont="1" applyFill="1" applyBorder="1" applyAlignment="1">
      <alignment vertical="center" wrapText="1"/>
    </xf>
    <xf numFmtId="3" fontId="1" fillId="4" borderId="1" xfId="2" applyNumberFormat="1" applyFont="1" applyFill="1" applyBorder="1" applyAlignment="1">
      <alignment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164" fontId="11" fillId="5" borderId="1" xfId="0" applyNumberFormat="1" applyFont="1" applyFill="1" applyBorder="1" applyAlignment="1">
      <alignment horizontal="right" vertical="center" wrapText="1"/>
    </xf>
    <xf numFmtId="3" fontId="11" fillId="4" borderId="1" xfId="2" applyNumberFormat="1" applyFont="1" applyFill="1" applyBorder="1" applyAlignment="1">
      <alignment horizontal="right" vertical="center" wrapText="1"/>
    </xf>
    <xf numFmtId="3" fontId="12" fillId="4" borderId="1" xfId="2" applyNumberFormat="1" applyFont="1" applyFill="1" applyBorder="1" applyAlignment="1">
      <alignment horizontal="right" vertical="center" wrapText="1"/>
    </xf>
    <xf numFmtId="164" fontId="2" fillId="2" borderId="1"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4" fontId="2" fillId="3" borderId="1" xfId="0" applyNumberFormat="1" applyFont="1" applyFill="1" applyBorder="1" applyAlignment="1">
      <alignment vertical="center" wrapText="1"/>
    </xf>
    <xf numFmtId="4" fontId="1" fillId="0" borderId="1" xfId="2" applyNumberFormat="1" applyFont="1" applyBorder="1" applyAlignment="1">
      <alignment vertical="center" wrapText="1"/>
    </xf>
    <xf numFmtId="2" fontId="1" fillId="0" borderId="1" xfId="0" applyNumberFormat="1" applyFont="1" applyFill="1" applyBorder="1" applyAlignment="1">
      <alignment vertical="center" wrapText="1"/>
    </xf>
    <xf numFmtId="2"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165" fontId="1" fillId="0" borderId="1" xfId="2" applyNumberFormat="1" applyFont="1" applyFill="1" applyBorder="1" applyAlignment="1">
      <alignment vertical="center" wrapText="1"/>
    </xf>
    <xf numFmtId="0" fontId="2" fillId="5" borderId="1" xfId="0" applyFont="1" applyFill="1" applyBorder="1" applyAlignment="1">
      <alignment horizontal="justify" vertical="center" wrapText="1"/>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1" fillId="0" borderId="1" xfId="0" quotePrefix="1" applyFont="1" applyBorder="1" applyAlignment="1">
      <alignment horizontal="center" vertical="center"/>
    </xf>
    <xf numFmtId="3" fontId="1" fillId="0" borderId="1" xfId="0" quotePrefix="1" applyNumberFormat="1" applyFont="1" applyFill="1" applyBorder="1" applyAlignment="1">
      <alignment horizontal="center" vertical="center" wrapText="1"/>
    </xf>
    <xf numFmtId="3" fontId="1" fillId="0" borderId="1" xfId="0" applyNumberFormat="1" applyFont="1" applyFill="1" applyBorder="1" applyAlignment="1">
      <alignment vertical="center" wrapText="1"/>
    </xf>
    <xf numFmtId="41" fontId="1" fillId="0" borderId="1" xfId="0" applyNumberFormat="1" applyFont="1" applyFill="1" applyBorder="1" applyAlignment="1">
      <alignment horizontal="center" vertical="center" wrapText="1"/>
    </xf>
    <xf numFmtId="3" fontId="2" fillId="5" borderId="1" xfId="0" applyNumberFormat="1" applyFont="1" applyFill="1" applyBorder="1" applyAlignment="1">
      <alignment vertical="center" wrapText="1"/>
    </xf>
    <xf numFmtId="41" fontId="2" fillId="5" borderId="1" xfId="0" applyNumberFormat="1" applyFont="1" applyFill="1" applyBorder="1" applyAlignment="1">
      <alignment horizontal="center" vertical="center" wrapText="1"/>
    </xf>
    <xf numFmtId="41" fontId="1" fillId="0" borderId="1" xfId="0" applyNumberFormat="1" applyFont="1" applyFill="1" applyBorder="1" applyAlignment="1">
      <alignment vertical="center" wrapText="1"/>
    </xf>
    <xf numFmtId="165" fontId="2" fillId="5" borderId="1" xfId="2" applyNumberFormat="1" applyFont="1" applyFill="1" applyBorder="1" applyAlignment="1">
      <alignment horizontal="center" vertical="center" wrapText="1"/>
    </xf>
    <xf numFmtId="165" fontId="2" fillId="5" borderId="1" xfId="2" applyNumberFormat="1" applyFont="1" applyFill="1" applyBorder="1" applyAlignment="1">
      <alignment vertical="center" wrapText="1"/>
    </xf>
    <xf numFmtId="3" fontId="2" fillId="0" borderId="1" xfId="3" applyNumberFormat="1" applyFont="1" applyFill="1" applyBorder="1" applyAlignment="1">
      <alignment vertical="center"/>
    </xf>
    <xf numFmtId="41" fontId="2"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3" fontId="1" fillId="0" borderId="1" xfId="3" applyNumberFormat="1" applyFont="1" applyFill="1" applyBorder="1" applyAlignment="1">
      <alignment vertical="center" wrapText="1"/>
    </xf>
    <xf numFmtId="164" fontId="1" fillId="0" borderId="1" xfId="0" quotePrefix="1" applyNumberFormat="1" applyFont="1" applyFill="1" applyBorder="1" applyAlignment="1">
      <alignment horizontal="center" vertical="center" wrapText="1"/>
    </xf>
    <xf numFmtId="41" fontId="1" fillId="4" borderId="1" xfId="0" applyNumberFormat="1" applyFont="1" applyFill="1" applyBorder="1" applyAlignment="1">
      <alignment horizontal="center" vertical="center" wrapText="1"/>
    </xf>
    <xf numFmtId="41" fontId="2" fillId="4"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2" fillId="0" borderId="1" xfId="3" applyNumberFormat="1" applyFont="1" applyFill="1" applyBorder="1" applyAlignment="1">
      <alignment vertical="center" wrapText="1"/>
    </xf>
    <xf numFmtId="164" fontId="1" fillId="0" borderId="1" xfId="0" applyNumberFormat="1"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165" fontId="21" fillId="0" borderId="1" xfId="2" applyNumberFormat="1" applyFont="1" applyBorder="1" applyAlignment="1">
      <alignment vertical="center" wrapText="1"/>
    </xf>
    <xf numFmtId="0" fontId="22" fillId="0" borderId="1" xfId="0" applyFont="1" applyFill="1" applyBorder="1" applyAlignment="1">
      <alignment vertical="center" wrapText="1"/>
    </xf>
    <xf numFmtId="165" fontId="12" fillId="0" borderId="1" xfId="2" applyNumberFormat="1" applyFont="1" applyBorder="1" applyAlignment="1">
      <alignment vertical="center" wrapText="1"/>
    </xf>
    <xf numFmtId="165" fontId="22" fillId="0" borderId="1" xfId="2" applyNumberFormat="1" applyFont="1" applyBorder="1" applyAlignment="1">
      <alignment vertical="center" wrapText="1"/>
    </xf>
    <xf numFmtId="0" fontId="13" fillId="0" borderId="1" xfId="0" applyFont="1" applyFill="1" applyBorder="1" applyAlignment="1">
      <alignment vertical="center" wrapText="1"/>
    </xf>
    <xf numFmtId="166" fontId="21" fillId="0" borderId="1" xfId="2" applyNumberFormat="1" applyFont="1" applyBorder="1" applyAlignment="1">
      <alignment vertical="center" wrapText="1"/>
    </xf>
    <xf numFmtId="166" fontId="22" fillId="0" borderId="1" xfId="2" applyNumberFormat="1" applyFont="1" applyBorder="1" applyAlignment="1">
      <alignment vertical="center" wrapText="1"/>
    </xf>
    <xf numFmtId="164" fontId="21" fillId="0" borderId="1" xfId="2" applyNumberFormat="1" applyFont="1" applyBorder="1" applyAlignment="1">
      <alignment horizontal="right" vertical="center" wrapText="1"/>
    </xf>
    <xf numFmtId="164" fontId="22" fillId="0" borderId="1" xfId="2" applyNumberFormat="1" applyFont="1" applyBorder="1" applyAlignment="1">
      <alignment horizontal="right" vertical="center" wrapText="1"/>
    </xf>
    <xf numFmtId="3" fontId="21" fillId="0" borderId="1" xfId="2" applyNumberFormat="1" applyFont="1" applyBorder="1" applyAlignment="1">
      <alignment horizontal="right" vertical="center" wrapText="1"/>
    </xf>
    <xf numFmtId="3" fontId="22" fillId="0" borderId="1" xfId="2" applyNumberFormat="1" applyFont="1" applyBorder="1" applyAlignment="1">
      <alignment horizontal="right" vertical="center" wrapText="1"/>
    </xf>
    <xf numFmtId="3" fontId="12" fillId="0" borderId="1" xfId="2" applyNumberFormat="1" applyFont="1" applyBorder="1" applyAlignment="1">
      <alignment horizontal="right" vertical="center" wrapText="1"/>
    </xf>
    <xf numFmtId="0" fontId="1" fillId="4" borderId="0" xfId="0" applyFont="1" applyFill="1" applyAlignment="1">
      <alignment horizontal="left" vertical="center"/>
    </xf>
    <xf numFmtId="0" fontId="1" fillId="4" borderId="2"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1" fillId="0" borderId="1" xfId="0" quotePrefix="1" applyFont="1" applyFill="1" applyBorder="1" applyAlignment="1">
      <alignment horizontal="center" vertical="center" wrapText="1"/>
    </xf>
    <xf numFmtId="0" fontId="12" fillId="4" borderId="1" xfId="0" applyFont="1" applyFill="1" applyBorder="1" applyAlignment="1">
      <alignment horizontal="left" vertical="center" wrapText="1"/>
    </xf>
    <xf numFmtId="0" fontId="6" fillId="4" borderId="1" xfId="0" quotePrefix="1" applyFont="1" applyFill="1" applyBorder="1" applyAlignment="1">
      <alignment horizontal="center" vertical="center" wrapText="1"/>
    </xf>
    <xf numFmtId="0" fontId="12" fillId="4" borderId="1" xfId="0" applyFont="1" applyFill="1" applyBorder="1" applyAlignment="1">
      <alignment horizontal="center" wrapText="1"/>
    </xf>
    <xf numFmtId="3" fontId="1" fillId="4" borderId="0" xfId="0" applyNumberFormat="1" applyFont="1" applyFill="1" applyAlignment="1">
      <alignment horizontal="right" vertical="center"/>
    </xf>
    <xf numFmtId="0" fontId="2" fillId="2" borderId="1" xfId="0" applyFont="1" applyFill="1" applyBorder="1" applyAlignment="1">
      <alignment vertical="center" wrapText="1"/>
    </xf>
    <xf numFmtId="0" fontId="2" fillId="0" borderId="1" xfId="0" quotePrefix="1" applyFont="1" applyFill="1" applyBorder="1" applyAlignment="1">
      <alignment horizontal="center" vertical="center" wrapText="1"/>
    </xf>
    <xf numFmtId="0" fontId="1" fillId="0" borderId="1" xfId="0" applyFont="1" applyFill="1" applyBorder="1" applyAlignment="1">
      <alignment horizontal="center" wrapText="1"/>
    </xf>
    <xf numFmtId="164" fontId="1" fillId="5" borderId="1" xfId="0" applyNumberFormat="1" applyFont="1" applyFill="1" applyBorder="1" applyAlignment="1">
      <alignment horizontal="right" vertical="center" wrapText="1"/>
    </xf>
    <xf numFmtId="165" fontId="12" fillId="4" borderId="1" xfId="2" applyNumberFormat="1" applyFont="1" applyFill="1" applyBorder="1" applyAlignment="1">
      <alignment vertical="center" wrapText="1"/>
    </xf>
    <xf numFmtId="165" fontId="11" fillId="4" borderId="1" xfId="2" applyNumberFormat="1" applyFont="1" applyFill="1" applyBorder="1" applyAlignment="1">
      <alignment vertical="center" wrapText="1"/>
    </xf>
    <xf numFmtId="165" fontId="11" fillId="4" borderId="1" xfId="2" applyNumberFormat="1" applyFont="1" applyFill="1" applyBorder="1" applyAlignment="1">
      <alignment horizontal="center" vertical="center" wrapText="1"/>
    </xf>
    <xf numFmtId="165" fontId="1" fillId="4" borderId="1" xfId="2" applyNumberFormat="1" applyFont="1" applyFill="1" applyBorder="1" applyAlignment="1">
      <alignment vertical="center" wrapText="1"/>
    </xf>
    <xf numFmtId="165" fontId="12" fillId="4" borderId="1" xfId="2" applyNumberFormat="1" applyFont="1" applyFill="1" applyBorder="1" applyAlignment="1">
      <alignment horizontal="center" vertical="center" wrapText="1"/>
    </xf>
    <xf numFmtId="0" fontId="1" fillId="4" borderId="1" xfId="0" quotePrefix="1" applyFont="1" applyFill="1" applyBorder="1" applyAlignment="1">
      <alignment horizontal="center" vertical="center"/>
    </xf>
    <xf numFmtId="165" fontId="11" fillId="4" borderId="1" xfId="2" applyNumberFormat="1" applyFont="1" applyFill="1" applyBorder="1" applyAlignment="1">
      <alignment horizontal="left" vertical="center" wrapText="1"/>
    </xf>
    <xf numFmtId="3" fontId="2" fillId="5" borderId="1" xfId="0" applyNumberFormat="1" applyFont="1" applyFill="1" applyBorder="1" applyAlignment="1">
      <alignment horizontal="right" vertical="center" wrapText="1"/>
    </xf>
    <xf numFmtId="0" fontId="11" fillId="4" borderId="1" xfId="0" applyFont="1" applyFill="1" applyBorder="1" applyAlignment="1">
      <alignment horizontal="right" vertical="center" wrapText="1"/>
    </xf>
    <xf numFmtId="0" fontId="2" fillId="5" borderId="1" xfId="0" applyFont="1" applyFill="1" applyBorder="1" applyAlignment="1">
      <alignment horizontal="left" vertical="center"/>
    </xf>
    <xf numFmtId="3" fontId="2" fillId="5" borderId="1" xfId="0" applyNumberFormat="1" applyFont="1" applyFill="1" applyBorder="1" applyAlignment="1">
      <alignment horizontal="right" vertical="center"/>
    </xf>
    <xf numFmtId="165" fontId="11" fillId="4" borderId="1" xfId="0" applyNumberFormat="1" applyFont="1" applyFill="1" applyBorder="1" applyAlignment="1">
      <alignment horizontal="right" wrapText="1"/>
    </xf>
    <xf numFmtId="0" fontId="2" fillId="5" borderId="0" xfId="0" applyFont="1" applyFill="1" applyAlignment="1">
      <alignment horizontal="center" vertical="center"/>
    </xf>
    <xf numFmtId="0" fontId="2" fillId="5" borderId="0" xfId="0" applyFont="1" applyFill="1" applyAlignment="1">
      <alignment horizontal="left" vertical="center"/>
    </xf>
    <xf numFmtId="3" fontId="2" fillId="5" borderId="1" xfId="0" applyNumberFormat="1" applyFont="1" applyFill="1" applyBorder="1" applyAlignment="1">
      <alignment vertical="center"/>
    </xf>
    <xf numFmtId="0" fontId="1" fillId="4" borderId="1" xfId="0" applyFont="1" applyFill="1" applyBorder="1" applyAlignment="1">
      <alignment vertical="center"/>
    </xf>
    <xf numFmtId="165" fontId="2" fillId="4" borderId="1" xfId="2" applyNumberFormat="1" applyFont="1" applyFill="1" applyBorder="1" applyAlignment="1">
      <alignment vertical="center"/>
    </xf>
    <xf numFmtId="0" fontId="2" fillId="4" borderId="1" xfId="0" applyFont="1" applyFill="1" applyBorder="1" applyAlignment="1">
      <alignment vertical="center"/>
    </xf>
    <xf numFmtId="3" fontId="1" fillId="4" borderId="5" xfId="0" applyNumberFormat="1" applyFont="1" applyFill="1" applyBorder="1" applyAlignment="1">
      <alignment horizontal="center" vertical="center" wrapText="1"/>
    </xf>
    <xf numFmtId="1" fontId="1" fillId="4" borderId="5" xfId="0" applyNumberFormat="1" applyFont="1" applyFill="1" applyBorder="1" applyAlignment="1">
      <alignment horizontal="center" vertical="center" wrapText="1"/>
    </xf>
    <xf numFmtId="164" fontId="1" fillId="4" borderId="5" xfId="0" applyNumberFormat="1" applyFont="1" applyFill="1" applyBorder="1" applyAlignment="1">
      <alignment horizontal="center" vertical="center" wrapText="1"/>
    </xf>
    <xf numFmtId="0" fontId="1" fillId="4" borderId="5" xfId="0" applyFont="1" applyFill="1" applyBorder="1" applyAlignment="1">
      <alignment horizontal="center" wrapText="1"/>
    </xf>
    <xf numFmtId="0" fontId="2" fillId="4" borderId="1"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1" xfId="0" applyFont="1" applyFill="1" applyBorder="1" applyAlignment="1">
      <alignment horizontal="right" vertical="center"/>
    </xf>
    <xf numFmtId="0" fontId="1" fillId="4" borderId="1" xfId="0" applyFont="1" applyFill="1" applyBorder="1" applyAlignment="1">
      <alignment horizontal="right" vertical="center"/>
    </xf>
    <xf numFmtId="167" fontId="2" fillId="4" borderId="1" xfId="0" applyNumberFormat="1" applyFont="1" applyFill="1" applyBorder="1" applyAlignment="1">
      <alignment horizontal="right" vertical="center"/>
    </xf>
    <xf numFmtId="167" fontId="1" fillId="4" borderId="1" xfId="0" applyNumberFormat="1" applyFont="1" applyFill="1" applyBorder="1" applyAlignment="1">
      <alignment horizontal="right" vertical="center"/>
    </xf>
    <xf numFmtId="3" fontId="1" fillId="4" borderId="1" xfId="0" applyNumberFormat="1" applyFont="1" applyFill="1" applyBorder="1" applyAlignment="1">
      <alignment horizontal="right" wrapText="1"/>
    </xf>
    <xf numFmtId="164" fontId="1" fillId="4" borderId="1" xfId="0" applyNumberFormat="1" applyFont="1" applyFill="1" applyBorder="1" applyAlignment="1">
      <alignment horizontal="right" wrapText="1"/>
    </xf>
    <xf numFmtId="0" fontId="1" fillId="4" borderId="1" xfId="0" applyFont="1" applyFill="1" applyBorder="1" applyAlignment="1">
      <alignment horizontal="center" wrapText="1"/>
    </xf>
    <xf numFmtId="3" fontId="2" fillId="4" borderId="1" xfId="0" applyNumberFormat="1" applyFont="1" applyFill="1" applyBorder="1" applyAlignment="1">
      <alignment horizontal="right" wrapText="1"/>
    </xf>
    <xf numFmtId="3" fontId="3" fillId="4" borderId="0" xfId="0" applyNumberFormat="1" applyFont="1" applyFill="1" applyAlignment="1">
      <alignment horizontal="right" vertical="center"/>
    </xf>
    <xf numFmtId="165" fontId="17" fillId="0" borderId="1" xfId="0" applyNumberFormat="1" applyFont="1" applyBorder="1" applyAlignment="1">
      <alignment vertical="center" wrapText="1"/>
    </xf>
    <xf numFmtId="165" fontId="17" fillId="0" borderId="1" xfId="2" applyNumberFormat="1" applyFont="1" applyBorder="1" applyAlignment="1">
      <alignment vertical="center" wrapText="1"/>
    </xf>
    <xf numFmtId="165" fontId="17" fillId="0" borderId="1" xfId="2" applyNumberFormat="1" applyFont="1" applyBorder="1" applyAlignment="1">
      <alignment horizontal="center" vertical="center" wrapText="1"/>
    </xf>
    <xf numFmtId="1" fontId="16" fillId="0" borderId="1" xfId="0" applyNumberFormat="1" applyFont="1" applyBorder="1" applyAlignment="1">
      <alignment vertical="center" wrapText="1"/>
    </xf>
    <xf numFmtId="165" fontId="16" fillId="0" borderId="1" xfId="2" applyNumberFormat="1" applyFont="1" applyBorder="1" applyAlignment="1">
      <alignment vertical="center" wrapText="1"/>
    </xf>
    <xf numFmtId="165" fontId="2" fillId="0" borderId="1" xfId="2" applyNumberFormat="1" applyFont="1" applyBorder="1" applyAlignment="1">
      <alignment vertical="center" wrapText="1"/>
    </xf>
    <xf numFmtId="165" fontId="1" fillId="0" borderId="1" xfId="2" applyNumberFormat="1" applyFont="1" applyBorder="1" applyAlignment="1">
      <alignment vertical="center" wrapText="1"/>
    </xf>
    <xf numFmtId="165" fontId="28" fillId="0" borderId="1" xfId="2" applyNumberFormat="1" applyFont="1" applyBorder="1" applyAlignment="1">
      <alignment vertical="center" wrapText="1"/>
    </xf>
    <xf numFmtId="165" fontId="28" fillId="0" borderId="1" xfId="2" applyNumberFormat="1" applyFont="1" applyBorder="1" applyAlignment="1">
      <alignment horizontal="center" vertical="center" wrapText="1"/>
    </xf>
    <xf numFmtId="168" fontId="16" fillId="0" borderId="1" xfId="2" applyNumberFormat="1" applyFont="1" applyBorder="1" applyAlignment="1">
      <alignment horizontal="center" vertical="center" wrapText="1"/>
    </xf>
    <xf numFmtId="168" fontId="16" fillId="4" borderId="1" xfId="2" applyNumberFormat="1" applyFont="1" applyFill="1" applyBorder="1" applyAlignment="1">
      <alignment horizontal="center" vertical="center" wrapText="1"/>
    </xf>
    <xf numFmtId="168" fontId="17" fillId="0" borderId="1" xfId="2" applyNumberFormat="1" applyFont="1" applyBorder="1" applyAlignment="1">
      <alignment horizontal="center" vertical="center" wrapText="1"/>
    </xf>
    <xf numFmtId="3" fontId="17" fillId="0" borderId="1" xfId="0" applyNumberFormat="1" applyFont="1" applyBorder="1" applyAlignment="1">
      <alignment vertical="center" wrapText="1"/>
    </xf>
    <xf numFmtId="3" fontId="16" fillId="0" borderId="1" xfId="0" applyNumberFormat="1" applyFont="1" applyBorder="1" applyAlignment="1">
      <alignment vertical="center" wrapText="1"/>
    </xf>
    <xf numFmtId="3" fontId="1" fillId="0" borderId="1" xfId="0" applyNumberFormat="1" applyFont="1" applyBorder="1" applyAlignment="1">
      <alignment vertical="center" wrapText="1"/>
    </xf>
    <xf numFmtId="0" fontId="1" fillId="0" borderId="1" xfId="0" applyFont="1" applyBorder="1" applyAlignment="1">
      <alignment horizontal="justify" vertical="center" wrapText="1"/>
    </xf>
    <xf numFmtId="3" fontId="17" fillId="0" borderId="1" xfId="0" applyNumberFormat="1" applyFont="1" applyBorder="1" applyAlignment="1">
      <alignment horizontal="center" vertical="center" wrapText="1"/>
    </xf>
    <xf numFmtId="168" fontId="17" fillId="0" borderId="1" xfId="2" applyNumberFormat="1" applyFont="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xf>
    <xf numFmtId="3" fontId="17" fillId="0" borderId="1" xfId="0" applyNumberFormat="1" applyFont="1" applyBorder="1" applyAlignment="1">
      <alignment vertical="center"/>
    </xf>
    <xf numFmtId="3" fontId="17" fillId="0" borderId="1" xfId="0" applyNumberFormat="1" applyFont="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vertical="center"/>
    </xf>
    <xf numFmtId="0" fontId="1" fillId="0" borderId="0" xfId="0" applyFont="1" applyAlignment="1">
      <alignment wrapText="1"/>
    </xf>
    <xf numFmtId="0" fontId="1" fillId="0" borderId="0" xfId="0" applyFont="1" applyAlignment="1">
      <alignment horizontal="center" wrapText="1"/>
    </xf>
    <xf numFmtId="0" fontId="2" fillId="3" borderId="1" xfId="0" applyFont="1" applyFill="1" applyBorder="1" applyAlignment="1">
      <alignment vertical="center" wrapText="1"/>
    </xf>
    <xf numFmtId="37" fontId="2" fillId="0" borderId="1" xfId="2" quotePrefix="1" applyNumberFormat="1" applyFont="1" applyBorder="1" applyAlignment="1">
      <alignment horizontal="right" vertical="center" wrapText="1"/>
    </xf>
    <xf numFmtId="0" fontId="1" fillId="0" borderId="1" xfId="0" applyFont="1" applyBorder="1" applyAlignment="1">
      <alignment horizontal="center" wrapText="1"/>
    </xf>
    <xf numFmtId="0" fontId="1" fillId="0" borderId="1" xfId="0" applyFont="1" applyBorder="1" applyAlignment="1">
      <alignment horizontal="justify"/>
    </xf>
    <xf numFmtId="0" fontId="1" fillId="0" borderId="1" xfId="0" applyFont="1" applyBorder="1" applyAlignment="1">
      <alignment horizontal="justify" wrapText="1"/>
    </xf>
    <xf numFmtId="0" fontId="1" fillId="0" borderId="1" xfId="0" applyFont="1" applyBorder="1"/>
    <xf numFmtId="0" fontId="0" fillId="0" borderId="1" xfId="0" applyBorder="1"/>
    <xf numFmtId="0" fontId="3" fillId="4" borderId="1" xfId="0" quotePrefix="1" applyFont="1" applyFill="1" applyBorder="1" applyAlignment="1">
      <alignment horizontal="center" vertical="center" wrapText="1"/>
    </xf>
    <xf numFmtId="0" fontId="3" fillId="4" borderId="1" xfId="0" applyFont="1" applyFill="1" applyBorder="1" applyAlignment="1">
      <alignment horizontal="left" vertical="center" wrapText="1"/>
    </xf>
    <xf numFmtId="0" fontId="12" fillId="0" borderId="1" xfId="4" applyFont="1" applyBorder="1" applyAlignment="1">
      <alignment vertical="center" wrapText="1"/>
    </xf>
    <xf numFmtId="0" fontId="12" fillId="0" borderId="1" xfId="4" applyFont="1" applyBorder="1" applyAlignment="1">
      <alignment horizontal="center" vertical="center" wrapText="1"/>
    </xf>
    <xf numFmtId="0" fontId="13" fillId="0" borderId="1" xfId="4" applyFont="1" applyBorder="1" applyAlignment="1">
      <alignment vertical="center" wrapText="1"/>
    </xf>
    <xf numFmtId="0" fontId="3" fillId="0" borderId="1" xfId="0" applyFont="1" applyBorder="1" applyAlignment="1">
      <alignment horizontal="justify"/>
    </xf>
    <xf numFmtId="0" fontId="2" fillId="5" borderId="1" xfId="0" applyFont="1" applyFill="1" applyBorder="1" applyAlignment="1">
      <alignment wrapText="1"/>
    </xf>
    <xf numFmtId="0" fontId="33" fillId="5" borderId="1" xfId="0" applyFont="1" applyFill="1" applyBorder="1"/>
    <xf numFmtId="0" fontId="7" fillId="4" borderId="1" xfId="0" quotePrefix="1"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12" fillId="0" borderId="1" xfId="4" applyFont="1" applyFill="1" applyBorder="1" applyAlignment="1">
      <alignment vertical="center" wrapText="1"/>
    </xf>
    <xf numFmtId="0" fontId="12" fillId="0" borderId="1" xfId="4"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justify"/>
    </xf>
    <xf numFmtId="0" fontId="13" fillId="4" borderId="1" xfId="0" quotePrefix="1" applyFont="1" applyFill="1" applyBorder="1" applyAlignment="1">
      <alignment horizontal="center" vertical="center" wrapText="1"/>
    </xf>
    <xf numFmtId="0" fontId="2" fillId="5" borderId="1" xfId="0" applyFont="1" applyFill="1" applyBorder="1" applyAlignment="1">
      <alignment vertical="center" wrapText="1"/>
    </xf>
    <xf numFmtId="0" fontId="2" fillId="0" borderId="0" xfId="0" applyFont="1" applyAlignment="1">
      <alignment vertical="center"/>
    </xf>
    <xf numFmtId="0" fontId="1" fillId="0" borderId="1" xfId="0" quotePrefix="1" applyFont="1" applyBorder="1" applyAlignment="1">
      <alignment horizontal="center" wrapText="1"/>
    </xf>
    <xf numFmtId="0" fontId="23" fillId="0" borderId="1" xfId="0" applyFont="1" applyBorder="1" applyAlignment="1">
      <alignment vertical="center"/>
    </xf>
    <xf numFmtId="0" fontId="14" fillId="0" borderId="1" xfId="4" applyFont="1" applyBorder="1" applyAlignment="1">
      <alignment vertical="center" wrapText="1"/>
    </xf>
    <xf numFmtId="0" fontId="38" fillId="0" borderId="1" xfId="4" applyFont="1" applyBorder="1" applyAlignment="1">
      <alignment vertical="center" wrapText="1"/>
    </xf>
    <xf numFmtId="0" fontId="11" fillId="0" borderId="1" xfId="4" applyFont="1" applyBorder="1" applyAlignment="1">
      <alignment vertical="center" wrapText="1"/>
    </xf>
    <xf numFmtId="0" fontId="37" fillId="0" borderId="1" xfId="4" applyFont="1" applyBorder="1" applyAlignment="1">
      <alignment horizontal="center" vertical="center" wrapText="1"/>
    </xf>
    <xf numFmtId="0" fontId="0" fillId="0" borderId="0" xfId="0" applyFont="1" applyAlignment="1">
      <alignment horizontal="center"/>
    </xf>
    <xf numFmtId="39" fontId="2" fillId="5" borderId="1" xfId="2" applyNumberFormat="1" applyFont="1" applyFill="1" applyBorder="1" applyAlignment="1">
      <alignment horizontal="right" vertical="center" wrapText="1"/>
    </xf>
    <xf numFmtId="39" fontId="1" fillId="0" borderId="1" xfId="2" applyNumberFormat="1" applyFont="1" applyBorder="1" applyAlignment="1">
      <alignment horizontal="right" vertical="center" wrapText="1"/>
    </xf>
    <xf numFmtId="169" fontId="1" fillId="0" borderId="1" xfId="2" applyNumberFormat="1" applyFont="1" applyBorder="1" applyAlignment="1">
      <alignment horizontal="right" vertical="center" wrapText="1"/>
    </xf>
    <xf numFmtId="37" fontId="1" fillId="0" borderId="1" xfId="2" applyNumberFormat="1" applyFont="1" applyBorder="1" applyAlignment="1">
      <alignment horizontal="right" vertical="center" wrapText="1"/>
    </xf>
    <xf numFmtId="43" fontId="2" fillId="0" borderId="1" xfId="0" applyNumberFormat="1" applyFont="1" applyBorder="1" applyAlignment="1">
      <alignment horizontal="right" vertical="center" wrapText="1"/>
    </xf>
    <xf numFmtId="39" fontId="2" fillId="3" borderId="1" xfId="0" applyNumberFormat="1" applyFont="1" applyFill="1" applyBorder="1" applyAlignment="1">
      <alignment horizontal="right" vertical="center" wrapText="1"/>
    </xf>
    <xf numFmtId="39" fontId="2" fillId="0" borderId="1" xfId="2" applyNumberFormat="1" applyFont="1" applyBorder="1" applyAlignment="1">
      <alignment horizontal="right" vertical="center" wrapText="1"/>
    </xf>
    <xf numFmtId="39" fontId="2" fillId="3" borderId="1" xfId="2" applyNumberFormat="1" applyFont="1" applyFill="1" applyBorder="1" applyAlignment="1">
      <alignment horizontal="right" vertical="center" wrapText="1"/>
    </xf>
    <xf numFmtId="39" fontId="2" fillId="4" borderId="1" xfId="2" applyNumberFormat="1" applyFont="1" applyFill="1" applyBorder="1" applyAlignment="1">
      <alignment horizontal="right" vertical="center" wrapText="1"/>
    </xf>
    <xf numFmtId="39" fontId="1" fillId="4" borderId="1" xfId="2" applyNumberFormat="1" applyFont="1" applyFill="1" applyBorder="1" applyAlignment="1">
      <alignment horizontal="right" vertical="center" wrapText="1"/>
    </xf>
    <xf numFmtId="39" fontId="1" fillId="0" borderId="1" xfId="2" applyNumberFormat="1" applyFont="1" applyFill="1" applyBorder="1" applyAlignment="1">
      <alignment horizontal="right" vertical="center" wrapText="1"/>
    </xf>
    <xf numFmtId="39" fontId="12" fillId="4" borderId="1" xfId="2" applyNumberFormat="1" applyFont="1" applyFill="1" applyBorder="1" applyAlignment="1">
      <alignment horizontal="right" vertical="center" wrapText="1"/>
    </xf>
    <xf numFmtId="39" fontId="11" fillId="4" borderId="1" xfId="2" applyNumberFormat="1" applyFont="1" applyFill="1" applyBorder="1" applyAlignment="1">
      <alignment horizontal="right" vertical="center" wrapText="1"/>
    </xf>
    <xf numFmtId="0" fontId="0" fillId="0" borderId="0" xfId="0" applyFont="1" applyAlignment="1">
      <alignment horizontal="right"/>
    </xf>
    <xf numFmtId="37" fontId="2" fillId="0" borderId="1" xfId="2" applyNumberFormat="1" applyFont="1" applyBorder="1" applyAlignment="1">
      <alignment horizontal="right" vertical="center" wrapText="1"/>
    </xf>
    <xf numFmtId="169" fontId="1" fillId="4" borderId="1" xfId="2" applyNumberFormat="1" applyFont="1" applyFill="1" applyBorder="1" applyAlignment="1">
      <alignment horizontal="right" vertical="center" wrapText="1"/>
    </xf>
    <xf numFmtId="37" fontId="2" fillId="4" borderId="1" xfId="2" applyNumberFormat="1" applyFont="1" applyFill="1" applyBorder="1" applyAlignment="1">
      <alignment horizontal="right" vertical="center" wrapText="1"/>
    </xf>
    <xf numFmtId="37" fontId="1" fillId="4" borderId="1" xfId="2" applyNumberFormat="1" applyFont="1" applyFill="1" applyBorder="1" applyAlignment="1">
      <alignment horizontal="right" vertical="center" wrapText="1"/>
    </xf>
    <xf numFmtId="37" fontId="1" fillId="0" borderId="1" xfId="2" applyNumberFormat="1" applyFont="1" applyFill="1" applyBorder="1" applyAlignment="1">
      <alignment horizontal="right" vertical="center" wrapText="1"/>
    </xf>
    <xf numFmtId="37" fontId="12" fillId="4" borderId="1" xfId="2" applyNumberFormat="1" applyFont="1" applyFill="1" applyBorder="1" applyAlignment="1">
      <alignment horizontal="right" vertical="center" wrapText="1"/>
    </xf>
    <xf numFmtId="3" fontId="2" fillId="3" borderId="1" xfId="0" applyNumberFormat="1" applyFont="1" applyFill="1" applyBorder="1" applyAlignment="1">
      <alignment horizontal="center" vertical="center" wrapText="1"/>
    </xf>
    <xf numFmtId="0" fontId="10" fillId="0" borderId="1" xfId="0" applyFont="1" applyBorder="1" applyAlignment="1">
      <alignment horizontal="center" wrapText="1"/>
    </xf>
    <xf numFmtId="0" fontId="10" fillId="4" borderId="1" xfId="0" applyFont="1" applyFill="1" applyBorder="1" applyAlignment="1">
      <alignment horizontal="center" wrapText="1"/>
    </xf>
    <xf numFmtId="0" fontId="1" fillId="0" borderId="0" xfId="0" applyFont="1" applyFill="1" applyAlignment="1">
      <alignment horizontal="center" vertical="center" wrapText="1"/>
    </xf>
    <xf numFmtId="0" fontId="10" fillId="0" borderId="1" xfId="0" applyFont="1" applyFill="1" applyBorder="1" applyAlignment="1">
      <alignment horizontal="center" wrapText="1"/>
    </xf>
    <xf numFmtId="0" fontId="18" fillId="0"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43" fontId="2" fillId="2" borderId="1" xfId="0" applyNumberFormat="1" applyFont="1" applyFill="1" applyBorder="1" applyAlignment="1">
      <alignment horizontal="center" vertical="center" wrapText="1"/>
    </xf>
    <xf numFmtId="43" fontId="2" fillId="3" borderId="1" xfId="2" applyFont="1" applyFill="1" applyBorder="1" applyAlignment="1">
      <alignment horizontal="center" vertical="center" wrapText="1"/>
    </xf>
    <xf numFmtId="167" fontId="2" fillId="3" borderId="1" xfId="0" applyNumberFormat="1" applyFont="1" applyFill="1" applyBorder="1" applyAlignment="1">
      <alignment horizontal="right" vertical="center" wrapText="1"/>
    </xf>
    <xf numFmtId="164" fontId="2" fillId="0" borderId="1" xfId="0" applyNumberFormat="1" applyFont="1" applyBorder="1" applyAlignment="1">
      <alignment horizontal="right" vertical="center" wrapText="1"/>
    </xf>
    <xf numFmtId="0" fontId="29" fillId="4" borderId="1" xfId="0" applyFont="1" applyFill="1" applyBorder="1" applyAlignment="1">
      <alignment horizontal="center" vertical="center" wrapText="1"/>
    </xf>
    <xf numFmtId="0" fontId="0" fillId="0" borderId="0" xfId="0" applyAlignment="1">
      <alignment horizontal="center"/>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4"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27" fillId="0" borderId="5" xfId="0" applyFont="1" applyBorder="1" applyAlignment="1">
      <alignment horizontal="center" vertical="center" wrapText="1"/>
    </xf>
    <xf numFmtId="4" fontId="2" fillId="0" borderId="1" xfId="0" applyNumberFormat="1" applyFont="1" applyBorder="1" applyAlignment="1">
      <alignment horizontal="center" vertical="center" wrapText="1"/>
    </xf>
    <xf numFmtId="2" fontId="16" fillId="4" borderId="1" xfId="0" applyNumberFormat="1" applyFont="1" applyFill="1" applyBorder="1" applyAlignment="1">
      <alignment horizontal="left" vertical="center" wrapText="1"/>
    </xf>
    <xf numFmtId="2" fontId="16" fillId="4" borderId="1" xfId="0" applyNumberFormat="1" applyFont="1" applyFill="1" applyBorder="1" applyAlignment="1">
      <alignment horizontal="center" vertical="center" wrapText="1"/>
    </xf>
    <xf numFmtId="3" fontId="16" fillId="4" borderId="1" xfId="0" applyNumberFormat="1" applyFont="1" applyFill="1" applyBorder="1" applyAlignment="1">
      <alignment horizontal="center" vertical="center" wrapText="1"/>
    </xf>
    <xf numFmtId="3" fontId="16" fillId="4" borderId="1" xfId="2"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4" fontId="11"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left" vertical="center" wrapText="1"/>
    </xf>
    <xf numFmtId="3" fontId="12" fillId="0" borderId="1" xfId="1" applyNumberFormat="1" applyFont="1" applyBorder="1" applyAlignment="1">
      <alignment horizontal="center" vertical="center" wrapText="1"/>
    </xf>
    <xf numFmtId="3" fontId="13" fillId="0" borderId="1" xfId="1" applyNumberFormat="1" applyFont="1" applyBorder="1" applyAlignment="1">
      <alignment horizontal="center" vertical="center"/>
    </xf>
    <xf numFmtId="164" fontId="2" fillId="2" borderId="1" xfId="0" applyNumberFormat="1"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0" fontId="12" fillId="0" borderId="1" xfId="0" quotePrefix="1" applyFont="1" applyBorder="1" applyAlignment="1">
      <alignment horizontal="center" vertical="center"/>
    </xf>
    <xf numFmtId="0" fontId="22" fillId="4" borderId="1" xfId="0" applyFont="1" applyFill="1" applyBorder="1" applyAlignment="1">
      <alignment horizontal="left" vertical="center" wrapText="1"/>
    </xf>
    <xf numFmtId="3" fontId="22" fillId="4" borderId="1" xfId="0" applyNumberFormat="1" applyFont="1" applyFill="1" applyBorder="1" applyAlignment="1">
      <alignment horizontal="center" vertical="center"/>
    </xf>
    <xf numFmtId="0" fontId="22" fillId="4" borderId="1" xfId="0" applyFont="1" applyFill="1" applyBorder="1" applyAlignment="1">
      <alignment horizontal="center" vertical="center"/>
    </xf>
    <xf numFmtId="4" fontId="22" fillId="4" borderId="1" xfId="0" applyNumberFormat="1" applyFont="1" applyFill="1" applyBorder="1" applyAlignment="1">
      <alignment horizontal="center" vertical="center"/>
    </xf>
    <xf numFmtId="0" fontId="11" fillId="0" borderId="1" xfId="0" quotePrefix="1" applyFont="1" applyBorder="1" applyAlignment="1">
      <alignment horizontal="center" vertical="center" wrapText="1"/>
    </xf>
    <xf numFmtId="0" fontId="12" fillId="0" borderId="1" xfId="0" applyFont="1" applyBorder="1" applyAlignment="1">
      <alignment horizontal="left" vertical="center" wrapText="1"/>
    </xf>
    <xf numFmtId="4" fontId="11" fillId="4" borderId="1" xfId="0" applyNumberFormat="1" applyFont="1" applyFill="1" applyBorder="1" applyAlignment="1">
      <alignment horizontal="center" vertical="center" wrapText="1"/>
    </xf>
    <xf numFmtId="3" fontId="12"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wrapText="1"/>
    </xf>
    <xf numFmtId="4" fontId="1" fillId="0" borderId="1" xfId="0" applyNumberFormat="1" applyFont="1" applyBorder="1" applyAlignment="1">
      <alignment horizontal="center" vertical="center" wrapText="1"/>
    </xf>
    <xf numFmtId="0" fontId="16" fillId="0" borderId="0" xfId="0" applyFont="1" applyAlignment="1">
      <alignment horizontal="center" vertical="center"/>
    </xf>
    <xf numFmtId="0" fontId="41" fillId="2" borderId="1" xfId="0" quotePrefix="1" applyFont="1" applyFill="1" applyBorder="1" applyAlignment="1">
      <alignment horizontal="left" vertical="center" wrapText="1"/>
    </xf>
    <xf numFmtId="4" fontId="17" fillId="2" borderId="1" xfId="0" applyNumberFormat="1"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4" fontId="16" fillId="4" borderId="1" xfId="0" applyNumberFormat="1" applyFont="1" applyFill="1" applyBorder="1" applyAlignment="1">
      <alignment horizontal="center" vertical="center" wrapText="1"/>
    </xf>
    <xf numFmtId="0" fontId="16" fillId="4" borderId="1" xfId="0" applyFont="1" applyFill="1" applyBorder="1" applyAlignment="1">
      <alignment horizontal="justify" vertical="center"/>
    </xf>
    <xf numFmtId="3" fontId="17" fillId="4" borderId="1" xfId="0" applyNumberFormat="1" applyFont="1" applyFill="1" applyBorder="1" applyAlignment="1">
      <alignment horizontal="center" vertical="center" wrapText="1"/>
    </xf>
    <xf numFmtId="0" fontId="17" fillId="4" borderId="1" xfId="0" quotePrefix="1" applyFont="1" applyFill="1" applyBorder="1" applyAlignment="1">
      <alignment horizontal="center" vertical="center" wrapText="1"/>
    </xf>
    <xf numFmtId="0" fontId="16" fillId="0" borderId="1" xfId="0" applyFont="1" applyBorder="1" applyAlignment="1">
      <alignment horizontal="center" vertical="center"/>
    </xf>
    <xf numFmtId="3" fontId="3" fillId="0" borderId="4" xfId="0" applyNumberFormat="1" applyFont="1" applyBorder="1" applyAlignment="1">
      <alignment vertical="center"/>
    </xf>
    <xf numFmtId="0" fontId="25" fillId="4" borderId="1" xfId="0" applyFont="1" applyFill="1" applyBorder="1" applyAlignment="1">
      <alignment horizontal="left" vertical="center"/>
    </xf>
    <xf numFmtId="0" fontId="35" fillId="0" borderId="0" xfId="0" applyFont="1" applyAlignment="1">
      <alignment horizontal="left" vertical="center"/>
    </xf>
    <xf numFmtId="0" fontId="2" fillId="7" borderId="0" xfId="0" applyFont="1" applyFill="1" applyAlignment="1">
      <alignment horizontal="center" vertical="center"/>
    </xf>
    <xf numFmtId="0" fontId="6" fillId="0" borderId="9" xfId="0" applyFont="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right" vertical="center" wrapText="1"/>
    </xf>
    <xf numFmtId="0" fontId="2" fillId="4" borderId="2"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2" fillId="4" borderId="1" xfId="0" applyFont="1" applyFill="1" applyBorder="1" applyAlignment="1">
      <alignment vertical="center" wrapText="1"/>
    </xf>
    <xf numFmtId="0" fontId="22" fillId="4" borderId="1" xfId="0" applyFont="1" applyFill="1" applyBorder="1" applyAlignment="1">
      <alignment horizontal="center" vertical="center" wrapText="1"/>
    </xf>
    <xf numFmtId="0" fontId="1" fillId="0" borderId="0" xfId="0" applyFont="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3" fontId="2" fillId="0" borderId="1" xfId="0" applyNumberFormat="1" applyFont="1" applyBorder="1" applyAlignment="1">
      <alignment horizontal="center" vertical="center" wrapText="1"/>
    </xf>
    <xf numFmtId="164" fontId="2" fillId="4" borderId="1" xfId="0" applyNumberFormat="1" applyFont="1" applyFill="1" applyBorder="1" applyAlignment="1">
      <alignment horizontal="right" vertical="center"/>
    </xf>
    <xf numFmtId="4" fontId="2" fillId="5" borderId="1" xfId="0" applyNumberFormat="1" applyFont="1" applyFill="1" applyBorder="1" applyAlignment="1">
      <alignment horizontal="right" vertical="center" wrapText="1"/>
    </xf>
    <xf numFmtId="0" fontId="25" fillId="5" borderId="1" xfId="0" applyFont="1" applyFill="1" applyBorder="1" applyAlignment="1">
      <alignment horizontal="center"/>
    </xf>
    <xf numFmtId="1" fontId="2" fillId="4" borderId="1" xfId="2" applyNumberFormat="1" applyFont="1" applyFill="1" applyBorder="1" applyAlignment="1">
      <alignment horizontal="right" vertical="center" wrapText="1"/>
    </xf>
    <xf numFmtId="0" fontId="2" fillId="4" borderId="0" xfId="0" applyFont="1" applyFill="1" applyAlignment="1">
      <alignment horizontal="center" vertical="center"/>
    </xf>
    <xf numFmtId="0" fontId="3" fillId="0" borderId="0" xfId="0" applyFont="1" applyAlignment="1">
      <alignment vertical="center" wrapText="1"/>
    </xf>
    <xf numFmtId="0" fontId="1" fillId="4" borderId="0" xfId="0" applyFont="1" applyFill="1" applyAlignment="1">
      <alignment vertical="center" wrapText="1"/>
    </xf>
    <xf numFmtId="166" fontId="10" fillId="0" borderId="1" xfId="2" applyNumberFormat="1" applyFont="1" applyBorder="1" applyAlignment="1">
      <alignment horizontal="right" vertical="center" wrapText="1"/>
    </xf>
    <xf numFmtId="167" fontId="2" fillId="0" borderId="1" xfId="0" applyNumberFormat="1" applyFont="1" applyBorder="1" applyAlignment="1">
      <alignment horizontal="right" vertical="center" wrapText="1"/>
    </xf>
    <xf numFmtId="1" fontId="10" fillId="0" borderId="1" xfId="0" applyNumberFormat="1" applyFont="1" applyBorder="1" applyAlignment="1">
      <alignment horizontal="right" vertical="center" wrapText="1"/>
    </xf>
    <xf numFmtId="3" fontId="3" fillId="4" borderId="1" xfId="0" applyNumberFormat="1" applyFont="1" applyFill="1" applyBorder="1" applyAlignment="1">
      <alignment horizontal="right" vertical="center" wrapText="1"/>
    </xf>
    <xf numFmtId="0" fontId="2" fillId="0" borderId="1" xfId="0" applyFont="1" applyBorder="1" applyAlignment="1">
      <alignment wrapText="1"/>
    </xf>
    <xf numFmtId="0" fontId="2" fillId="0" borderId="1" xfId="0" applyFont="1" applyBorder="1" applyAlignment="1">
      <alignment horizontal="center" wrapText="1"/>
    </xf>
    <xf numFmtId="0" fontId="0" fillId="0" borderId="1" xfId="0" applyFont="1" applyBorder="1"/>
    <xf numFmtId="3" fontId="1" fillId="0" borderId="3" xfId="0" applyNumberFormat="1" applyFont="1" applyBorder="1" applyAlignment="1">
      <alignment vertical="center" wrapText="1"/>
    </xf>
    <xf numFmtId="3" fontId="1" fillId="0" borderId="3" xfId="0" applyNumberFormat="1" applyFont="1" applyBorder="1" applyAlignment="1">
      <alignment horizontal="center" vertical="center" wrapText="1"/>
    </xf>
    <xf numFmtId="9" fontId="16" fillId="6" borderId="1" xfId="0" applyNumberFormat="1" applyFont="1" applyFill="1" applyBorder="1" applyAlignment="1">
      <alignment horizontal="left" vertical="center" wrapText="1"/>
    </xf>
    <xf numFmtId="0" fontId="16" fillId="0" borderId="3" xfId="0" applyFont="1" applyBorder="1" applyAlignment="1">
      <alignment horizontal="center" vertical="center" wrapText="1"/>
    </xf>
    <xf numFmtId="9" fontId="1" fillId="6" borderId="1" xfId="0" applyNumberFormat="1" applyFont="1" applyFill="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5" fillId="0" borderId="0" xfId="0" applyFont="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5" fillId="0" borderId="0" xfId="0" applyFont="1" applyAlignment="1">
      <alignment horizontal="center" vertical="center" wrapText="1"/>
    </xf>
    <xf numFmtId="0" fontId="2" fillId="4" borderId="1" xfId="0" applyFont="1" applyFill="1" applyBorder="1" applyAlignment="1">
      <alignment horizontal="center" vertical="center" wrapText="1"/>
    </xf>
    <xf numFmtId="0" fontId="33" fillId="0" borderId="3" xfId="0" applyFont="1" applyBorder="1" applyAlignment="1">
      <alignment horizontal="center" vertical="center"/>
    </xf>
    <xf numFmtId="0" fontId="33" fillId="0" borderId="8" xfId="0" applyFont="1" applyBorder="1" applyAlignment="1">
      <alignment horizontal="center" vertical="center"/>
    </xf>
    <xf numFmtId="0" fontId="33" fillId="0" borderId="2" xfId="0" applyFont="1" applyBorder="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vertical="center" wrapText="1"/>
    </xf>
    <xf numFmtId="0" fontId="17" fillId="0" borderId="2" xfId="0" applyFont="1" applyBorder="1" applyAlignment="1">
      <alignment vertical="center" wrapText="1"/>
    </xf>
    <xf numFmtId="0" fontId="2" fillId="0" borderId="0" xfId="0" applyFont="1" applyAlignment="1">
      <alignment horizontal="center" vertical="center" wrapText="1"/>
    </xf>
    <xf numFmtId="3" fontId="3" fillId="0" borderId="0" xfId="0" applyNumberFormat="1" applyFont="1" applyAlignment="1">
      <alignment horizontal="center" vertical="center"/>
    </xf>
    <xf numFmtId="0" fontId="2" fillId="0" borderId="1" xfId="0" applyFont="1" applyBorder="1" applyAlignment="1">
      <alignment horizontal="right" vertical="center" wrapText="1"/>
    </xf>
    <xf numFmtId="164" fontId="2" fillId="4" borderId="3" xfId="0" applyNumberFormat="1" applyFont="1" applyFill="1" applyBorder="1" applyAlignment="1">
      <alignment horizontal="center" vertical="center" wrapText="1"/>
    </xf>
    <xf numFmtId="164" fontId="2" fillId="4"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0" xfId="0" applyFont="1" applyFill="1" applyAlignment="1">
      <alignment horizontal="center" vertical="center" wrapText="1"/>
    </xf>
    <xf numFmtId="3" fontId="2" fillId="4" borderId="3"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40" fillId="0" borderId="0" xfId="0"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center" vertical="center"/>
    </xf>
  </cellXfs>
  <cellStyles count="5">
    <cellStyle name="Comma" xfId="2" builtinId="3"/>
    <cellStyle name="Normal" xfId="0" builtinId="0"/>
    <cellStyle name="Normal 2" xfId="4"/>
    <cellStyle name="Normal 3" xfId="1"/>
    <cellStyle name="Normal_Sheet1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zoomScale="120" zoomScaleNormal="120" workbookViewId="0">
      <pane ySplit="2" topLeftCell="A17" activePane="bottomLeft" state="frozen"/>
      <selection pane="bottomLeft" activeCell="C20" sqref="C20"/>
    </sheetView>
  </sheetViews>
  <sheetFormatPr defaultColWidth="9.1796875" defaultRowHeight="25" customHeight="1" x14ac:dyDescent="0.35"/>
  <cols>
    <col min="1" max="1" width="7.1796875" style="2" customWidth="1"/>
    <col min="2" max="2" width="48.1796875" style="5" customWidth="1"/>
    <col min="3" max="3" width="14.54296875" style="5" customWidth="1"/>
    <col min="4" max="4" width="15.453125" style="7" customWidth="1"/>
    <col min="5" max="5" width="15.7265625" style="7" hidden="1" customWidth="1"/>
    <col min="6" max="6" width="18.1796875" style="7" hidden="1" customWidth="1"/>
    <col min="7" max="7" width="14.26953125" style="7" hidden="1" customWidth="1"/>
    <col min="8" max="8" width="14.7265625" style="2" hidden="1" customWidth="1"/>
    <col min="9" max="9" width="15.1796875" style="2" customWidth="1"/>
    <col min="10" max="16384" width="9.1796875" style="2"/>
  </cols>
  <sheetData>
    <row r="1" spans="1:8" ht="25" customHeight="1" x14ac:dyDescent="0.35">
      <c r="A1" s="570" t="s">
        <v>308</v>
      </c>
      <c r="B1" s="570"/>
      <c r="C1" s="570"/>
      <c r="D1" s="570"/>
      <c r="E1" s="570"/>
      <c r="F1" s="570"/>
      <c r="G1" s="570"/>
      <c r="H1" s="570"/>
    </row>
    <row r="2" spans="1:8" s="83" customFormat="1" ht="25" customHeight="1" x14ac:dyDescent="0.35">
      <c r="A2" s="546" t="s">
        <v>0</v>
      </c>
      <c r="B2" s="546" t="s">
        <v>1</v>
      </c>
      <c r="C2" s="547" t="s">
        <v>12</v>
      </c>
      <c r="D2" s="548" t="s">
        <v>9</v>
      </c>
      <c r="E2" s="577" t="s">
        <v>2</v>
      </c>
      <c r="F2" s="577"/>
      <c r="G2" s="548" t="s">
        <v>5</v>
      </c>
      <c r="H2" s="545" t="s">
        <v>647</v>
      </c>
    </row>
    <row r="3" spans="1:8" s="83" customFormat="1" ht="25" customHeight="1" x14ac:dyDescent="0.35">
      <c r="A3" s="571" t="s">
        <v>302</v>
      </c>
      <c r="B3" s="572"/>
      <c r="C3" s="573"/>
      <c r="D3" s="491">
        <f>D4+D8+D16+D19+D21+D38+D41+D48</f>
        <v>64868.72</v>
      </c>
      <c r="E3" s="491" t="e">
        <f>E4+E8+E16+E19+#REF!+E21+E38+E41+E48+#REF!</f>
        <v>#REF!</v>
      </c>
      <c r="F3" s="491"/>
      <c r="G3" s="85" t="e">
        <f>G4+G8+G16+G19+#REF!+G21+G38+G41+G48+#REF!</f>
        <v>#REF!</v>
      </c>
      <c r="H3" s="219"/>
    </row>
    <row r="4" spans="1:8" s="159" customFormat="1" ht="15.75" customHeight="1" x14ac:dyDescent="0.35">
      <c r="A4" s="11" t="s">
        <v>7</v>
      </c>
      <c r="B4" s="12" t="s">
        <v>10</v>
      </c>
      <c r="C4" s="11"/>
      <c r="D4" s="14">
        <f>D5+D6+D7</f>
        <v>350</v>
      </c>
      <c r="E4" s="14">
        <f t="shared" ref="E4:G4" si="0">E5+E6+E7</f>
        <v>120</v>
      </c>
      <c r="F4" s="14"/>
      <c r="G4" s="14">
        <f t="shared" si="0"/>
        <v>230</v>
      </c>
      <c r="H4" s="84"/>
    </row>
    <row r="5" spans="1:8" s="159" customFormat="1" ht="23.25" customHeight="1" x14ac:dyDescent="0.35">
      <c r="A5" s="241" t="s">
        <v>69</v>
      </c>
      <c r="B5" s="492" t="s">
        <v>91</v>
      </c>
      <c r="C5" s="493" t="s">
        <v>92</v>
      </c>
      <c r="D5" s="494">
        <f>E5+G5</f>
        <v>200</v>
      </c>
      <c r="E5" s="495"/>
      <c r="F5" s="495"/>
      <c r="G5" s="495">
        <v>200</v>
      </c>
      <c r="H5" s="84"/>
    </row>
    <row r="6" spans="1:8" s="159" customFormat="1" ht="23.25" customHeight="1" x14ac:dyDescent="0.35">
      <c r="A6" s="241" t="s">
        <v>69</v>
      </c>
      <c r="B6" s="492" t="s">
        <v>93</v>
      </c>
      <c r="C6" s="493" t="s">
        <v>94</v>
      </c>
      <c r="D6" s="494">
        <f t="shared" ref="D6:D7" si="1">E6+G6</f>
        <v>30</v>
      </c>
      <c r="E6" s="495"/>
      <c r="F6" s="495"/>
      <c r="G6" s="495">
        <v>30</v>
      </c>
      <c r="H6" s="84"/>
    </row>
    <row r="7" spans="1:8" s="159" customFormat="1" ht="68.25" customHeight="1" x14ac:dyDescent="0.35">
      <c r="A7" s="241" t="s">
        <v>69</v>
      </c>
      <c r="B7" s="492" t="s">
        <v>95</v>
      </c>
      <c r="C7" s="493" t="s">
        <v>96</v>
      </c>
      <c r="D7" s="494">
        <f t="shared" si="1"/>
        <v>120</v>
      </c>
      <c r="E7" s="495">
        <v>120</v>
      </c>
      <c r="F7" s="495" t="s">
        <v>97</v>
      </c>
      <c r="G7" s="495"/>
      <c r="H7" s="84"/>
    </row>
    <row r="8" spans="1:8" s="159" customFormat="1" ht="13.5" customHeight="1" x14ac:dyDescent="0.35">
      <c r="A8" s="11" t="s">
        <v>8</v>
      </c>
      <c r="B8" s="12" t="s">
        <v>11</v>
      </c>
      <c r="C8" s="11"/>
      <c r="D8" s="14">
        <f>D9+D12+D14</f>
        <v>9534</v>
      </c>
      <c r="E8" s="14">
        <f>E9+E12+E14</f>
        <v>9534</v>
      </c>
      <c r="F8" s="14"/>
      <c r="G8" s="14"/>
      <c r="H8" s="84"/>
    </row>
    <row r="9" spans="1:8" s="159" customFormat="1" ht="39" customHeight="1" x14ac:dyDescent="0.35">
      <c r="A9" s="84" t="s">
        <v>47</v>
      </c>
      <c r="B9" s="10" t="s">
        <v>98</v>
      </c>
      <c r="C9" s="84"/>
      <c r="D9" s="85">
        <f>D10+D11</f>
        <v>2890</v>
      </c>
      <c r="E9" s="85">
        <f>E10+E11</f>
        <v>2890</v>
      </c>
      <c r="F9" s="85"/>
      <c r="G9" s="85"/>
      <c r="H9" s="84"/>
    </row>
    <row r="10" spans="1:8" s="3" customFormat="1" ht="39" customHeight="1" x14ac:dyDescent="0.35">
      <c r="A10" s="31"/>
      <c r="B10" s="55" t="s">
        <v>856</v>
      </c>
      <c r="C10" s="31" t="s">
        <v>99</v>
      </c>
      <c r="D10" s="44">
        <f>3.65*600</f>
        <v>2190</v>
      </c>
      <c r="E10" s="44">
        <f>D10</f>
        <v>2190</v>
      </c>
      <c r="F10" s="44" t="s">
        <v>100</v>
      </c>
      <c r="G10" s="44"/>
      <c r="H10" s="1"/>
    </row>
    <row r="11" spans="1:8" s="3" customFormat="1" ht="39" customHeight="1" x14ac:dyDescent="0.35">
      <c r="A11" s="1"/>
      <c r="B11" s="18" t="s">
        <v>101</v>
      </c>
      <c r="C11" s="1" t="s">
        <v>102</v>
      </c>
      <c r="D11" s="9">
        <f>350*2</f>
        <v>700</v>
      </c>
      <c r="E11" s="9">
        <f>D11</f>
        <v>700</v>
      </c>
      <c r="F11" s="9" t="s">
        <v>100</v>
      </c>
      <c r="G11" s="9"/>
      <c r="H11" s="1"/>
    </row>
    <row r="12" spans="1:8" s="159" customFormat="1" ht="54.75" customHeight="1" x14ac:dyDescent="0.35">
      <c r="A12" s="84" t="s">
        <v>49</v>
      </c>
      <c r="B12" s="19" t="s">
        <v>103</v>
      </c>
      <c r="C12" s="84"/>
      <c r="D12" s="85">
        <f>D13</f>
        <v>2200</v>
      </c>
      <c r="E12" s="85">
        <f>E13</f>
        <v>2200</v>
      </c>
      <c r="F12" s="85"/>
      <c r="G12" s="85"/>
      <c r="H12" s="84"/>
    </row>
    <row r="13" spans="1:8" s="3" customFormat="1" ht="39" customHeight="1" x14ac:dyDescent="0.35">
      <c r="A13" s="1"/>
      <c r="B13" s="18" t="s">
        <v>104</v>
      </c>
      <c r="C13" s="1" t="s">
        <v>105</v>
      </c>
      <c r="D13" s="9">
        <f>5.5*400</f>
        <v>2200</v>
      </c>
      <c r="E13" s="9">
        <f>D13</f>
        <v>2200</v>
      </c>
      <c r="F13" s="9" t="s">
        <v>106</v>
      </c>
      <c r="G13" s="9"/>
      <c r="H13" s="1"/>
    </row>
    <row r="14" spans="1:8" s="159" customFormat="1" ht="50.25" customHeight="1" x14ac:dyDescent="0.35">
      <c r="A14" s="84" t="s">
        <v>166</v>
      </c>
      <c r="B14" s="19" t="s">
        <v>107</v>
      </c>
      <c r="C14" s="84"/>
      <c r="D14" s="85">
        <f>D15</f>
        <v>4444</v>
      </c>
      <c r="E14" s="85">
        <f>E15</f>
        <v>4444</v>
      </c>
      <c r="F14" s="85"/>
      <c r="G14" s="85"/>
      <c r="H14" s="84"/>
    </row>
    <row r="15" spans="1:8" ht="39" customHeight="1" x14ac:dyDescent="0.35">
      <c r="A15" s="236"/>
      <c r="B15" s="18" t="s">
        <v>108</v>
      </c>
      <c r="C15" s="1" t="s">
        <v>109</v>
      </c>
      <c r="D15" s="9">
        <f>11.11*400</f>
        <v>4444</v>
      </c>
      <c r="E15" s="9">
        <f>D15</f>
        <v>4444</v>
      </c>
      <c r="F15" s="9" t="s">
        <v>106</v>
      </c>
      <c r="G15" s="9"/>
      <c r="H15" s="59"/>
    </row>
    <row r="16" spans="1:8" s="83" customFormat="1" ht="29.25" customHeight="1" x14ac:dyDescent="0.35">
      <c r="A16" s="11" t="s">
        <v>31</v>
      </c>
      <c r="B16" s="355" t="s">
        <v>110</v>
      </c>
      <c r="C16" s="11"/>
      <c r="D16" s="496" t="str">
        <f>D17</f>
        <v>650</v>
      </c>
      <c r="E16" s="496" t="str">
        <f t="shared" ref="E16:G16" si="2">E17</f>
        <v>300</v>
      </c>
      <c r="F16" s="496">
        <f t="shared" si="2"/>
        <v>0</v>
      </c>
      <c r="G16" s="496" t="str">
        <f t="shared" si="2"/>
        <v>350</v>
      </c>
      <c r="H16" s="219"/>
    </row>
    <row r="17" spans="1:9" ht="39" customHeight="1" x14ac:dyDescent="0.35">
      <c r="A17" s="497">
        <v>1</v>
      </c>
      <c r="B17" s="10" t="s">
        <v>111</v>
      </c>
      <c r="C17" s="23"/>
      <c r="D17" s="498" t="s">
        <v>112</v>
      </c>
      <c r="E17" s="498" t="s">
        <v>113</v>
      </c>
      <c r="F17" s="498"/>
      <c r="G17" s="498" t="s">
        <v>114</v>
      </c>
      <c r="H17" s="59"/>
    </row>
    <row r="18" spans="1:9" ht="75" customHeight="1" x14ac:dyDescent="0.35">
      <c r="A18" s="497" t="s">
        <v>69</v>
      </c>
      <c r="B18" s="6" t="s">
        <v>115</v>
      </c>
      <c r="C18" s="24"/>
      <c r="D18" s="499">
        <f>E18+G18</f>
        <v>650</v>
      </c>
      <c r="E18" s="499">
        <v>300</v>
      </c>
      <c r="F18" s="499" t="s">
        <v>116</v>
      </c>
      <c r="G18" s="500">
        <v>350</v>
      </c>
      <c r="H18" s="59"/>
    </row>
    <row r="19" spans="1:9" s="83" customFormat="1" ht="26.25" customHeight="1" x14ac:dyDescent="0.35">
      <c r="A19" s="11" t="s">
        <v>35</v>
      </c>
      <c r="B19" s="355" t="s">
        <v>117</v>
      </c>
      <c r="C19" s="11"/>
      <c r="D19" s="14">
        <f>D20</f>
        <v>3332</v>
      </c>
      <c r="E19" s="14"/>
      <c r="F19" s="14"/>
      <c r="G19" s="14">
        <f>G20</f>
        <v>3332</v>
      </c>
      <c r="H19" s="219"/>
    </row>
    <row r="20" spans="1:9" ht="26.25" customHeight="1" x14ac:dyDescent="0.35">
      <c r="A20" s="501">
        <v>1</v>
      </c>
      <c r="B20" s="502" t="s">
        <v>118</v>
      </c>
      <c r="C20" s="501" t="s">
        <v>857</v>
      </c>
      <c r="D20" s="503">
        <v>3332</v>
      </c>
      <c r="E20" s="504"/>
      <c r="F20" s="503"/>
      <c r="G20" s="503">
        <f>D20</f>
        <v>3332</v>
      </c>
      <c r="H20" s="501"/>
    </row>
    <row r="21" spans="1:9" ht="26.25" customHeight="1" x14ac:dyDescent="0.35">
      <c r="A21" s="11" t="s">
        <v>60</v>
      </c>
      <c r="B21" s="355" t="s">
        <v>119</v>
      </c>
      <c r="C21" s="11"/>
      <c r="D21" s="505">
        <f>D22+D28+D33+D36</f>
        <v>7577.5</v>
      </c>
      <c r="E21" s="505">
        <f>E22+E28+E33+E36</f>
        <v>7240.5</v>
      </c>
      <c r="F21" s="505"/>
      <c r="G21" s="14">
        <f>G22+G28+G33+G36</f>
        <v>240</v>
      </c>
      <c r="H21" s="59"/>
    </row>
    <row r="22" spans="1:9" ht="31.5" customHeight="1" x14ac:dyDescent="0.35">
      <c r="A22" s="497" t="s">
        <v>47</v>
      </c>
      <c r="B22" s="43" t="s">
        <v>120</v>
      </c>
      <c r="C22" s="97"/>
      <c r="D22" s="506">
        <f>SUM(D23:D27)</f>
        <v>233.5</v>
      </c>
      <c r="E22" s="506">
        <f>SUM(E23:E27)</f>
        <v>153.5</v>
      </c>
      <c r="F22" s="506"/>
      <c r="G22" s="100">
        <f t="shared" ref="G22" si="3">SUM(G23:G27)</f>
        <v>80</v>
      </c>
      <c r="H22" s="59"/>
    </row>
    <row r="23" spans="1:9" ht="39" customHeight="1" x14ac:dyDescent="0.35">
      <c r="A23" s="507" t="s">
        <v>69</v>
      </c>
      <c r="B23" s="27" t="s">
        <v>121</v>
      </c>
      <c r="C23" s="26" t="s">
        <v>122</v>
      </c>
      <c r="D23" s="101">
        <v>150</v>
      </c>
      <c r="E23" s="101">
        <v>150</v>
      </c>
      <c r="F23" s="101" t="s">
        <v>303</v>
      </c>
      <c r="G23" s="101"/>
      <c r="H23" s="59"/>
    </row>
    <row r="24" spans="1:9" ht="29.25" customHeight="1" x14ac:dyDescent="0.35">
      <c r="A24" s="507" t="s">
        <v>69</v>
      </c>
      <c r="B24" s="508" t="s">
        <v>123</v>
      </c>
      <c r="C24" s="26" t="s">
        <v>124</v>
      </c>
      <c r="D24" s="509">
        <v>50</v>
      </c>
      <c r="E24" s="509"/>
      <c r="F24" s="509"/>
      <c r="G24" s="9">
        <v>50</v>
      </c>
      <c r="H24" s="59"/>
    </row>
    <row r="25" spans="1:9" ht="24.75" customHeight="1" x14ac:dyDescent="0.35">
      <c r="A25" s="507" t="s">
        <v>69</v>
      </c>
      <c r="B25" s="508" t="s">
        <v>125</v>
      </c>
      <c r="C25" s="26" t="s">
        <v>124</v>
      </c>
      <c r="D25" s="509">
        <v>10</v>
      </c>
      <c r="E25" s="509"/>
      <c r="F25" s="509"/>
      <c r="G25" s="9">
        <v>10</v>
      </c>
      <c r="H25" s="59"/>
    </row>
    <row r="26" spans="1:9" ht="24.75" customHeight="1" x14ac:dyDescent="0.35">
      <c r="A26" s="507" t="s">
        <v>69</v>
      </c>
      <c r="B26" s="508" t="s">
        <v>126</v>
      </c>
      <c r="C26" s="26" t="s">
        <v>124</v>
      </c>
      <c r="D26" s="509">
        <v>20</v>
      </c>
      <c r="E26" s="509"/>
      <c r="F26" s="509"/>
      <c r="G26" s="9">
        <v>20</v>
      </c>
      <c r="H26" s="59"/>
    </row>
    <row r="27" spans="1:9" ht="24.75" customHeight="1" x14ac:dyDescent="0.35">
      <c r="A27" s="507" t="s">
        <v>69</v>
      </c>
      <c r="B27" s="508" t="s">
        <v>128</v>
      </c>
      <c r="C27" s="510" t="s">
        <v>823</v>
      </c>
      <c r="D27" s="511">
        <v>3.5</v>
      </c>
      <c r="E27" s="511">
        <v>3.5</v>
      </c>
      <c r="F27" s="511" t="s">
        <v>127</v>
      </c>
      <c r="G27" s="511"/>
      <c r="H27" s="59"/>
    </row>
    <row r="28" spans="1:9" ht="50.25" customHeight="1" x14ac:dyDescent="0.35">
      <c r="A28" s="23" t="s">
        <v>49</v>
      </c>
      <c r="B28" s="43" t="s">
        <v>129</v>
      </c>
      <c r="C28" s="97"/>
      <c r="D28" s="100">
        <f>SUM(D29:D32)</f>
        <v>307</v>
      </c>
      <c r="E28" s="100">
        <f>SUM(E29:E32)</f>
        <v>50</v>
      </c>
      <c r="F28" s="100">
        <f>SUM(F29:F32)</f>
        <v>0</v>
      </c>
      <c r="G28" s="100">
        <f>SUM(G29:G32)</f>
        <v>160</v>
      </c>
      <c r="H28" s="59"/>
    </row>
    <row r="29" spans="1:9" ht="38.25" customHeight="1" x14ac:dyDescent="0.35">
      <c r="A29" s="512" t="s">
        <v>69</v>
      </c>
      <c r="B29" s="247" t="s">
        <v>130</v>
      </c>
      <c r="C29" s="97"/>
      <c r="D29" s="101">
        <v>50</v>
      </c>
      <c r="E29" s="101">
        <v>50</v>
      </c>
      <c r="F29" s="101" t="s">
        <v>127</v>
      </c>
      <c r="G29" s="101"/>
      <c r="H29" s="59"/>
    </row>
    <row r="30" spans="1:9" ht="66.75" customHeight="1" x14ac:dyDescent="0.35">
      <c r="A30" s="512" t="s">
        <v>69</v>
      </c>
      <c r="B30" s="513" t="s">
        <v>131</v>
      </c>
      <c r="C30" s="26" t="s">
        <v>132</v>
      </c>
      <c r="D30" s="101">
        <v>30</v>
      </c>
      <c r="E30" s="101"/>
      <c r="F30" s="101"/>
      <c r="G30" s="101">
        <v>30</v>
      </c>
      <c r="H30" s="59"/>
    </row>
    <row r="31" spans="1:9" ht="52.5" customHeight="1" x14ac:dyDescent="0.35">
      <c r="A31" s="512" t="s">
        <v>69</v>
      </c>
      <c r="B31" s="513" t="s">
        <v>133</v>
      </c>
      <c r="C31" s="26" t="s">
        <v>132</v>
      </c>
      <c r="D31" s="101">
        <v>100</v>
      </c>
      <c r="E31" s="101"/>
      <c r="F31" s="101"/>
      <c r="G31" s="101">
        <v>100</v>
      </c>
      <c r="H31" s="59"/>
    </row>
    <row r="32" spans="1:9" ht="56.25" customHeight="1" x14ac:dyDescent="0.35">
      <c r="A32" s="512" t="s">
        <v>69</v>
      </c>
      <c r="B32" s="542" t="s">
        <v>822</v>
      </c>
      <c r="C32" s="543"/>
      <c r="D32" s="509">
        <f>30+50+5+42</f>
        <v>127</v>
      </c>
      <c r="E32" s="67"/>
      <c r="F32" s="509"/>
      <c r="G32" s="509">
        <v>30</v>
      </c>
      <c r="H32" s="59"/>
      <c r="I32" s="531"/>
    </row>
    <row r="33" spans="1:8" ht="39" customHeight="1" x14ac:dyDescent="0.35">
      <c r="A33" s="23" t="s">
        <v>166</v>
      </c>
      <c r="B33" s="43" t="s">
        <v>304</v>
      </c>
      <c r="C33" s="97"/>
      <c r="D33" s="100">
        <f>SUM(D34:D35)</f>
        <v>5855</v>
      </c>
      <c r="E33" s="100">
        <f t="shared" ref="E33" si="4">SUM(E34:E35)</f>
        <v>5855</v>
      </c>
      <c r="F33" s="514"/>
      <c r="G33" s="514"/>
      <c r="H33" s="59"/>
    </row>
    <row r="34" spans="1:8" ht="45" customHeight="1" x14ac:dyDescent="0.35">
      <c r="A34" s="512" t="s">
        <v>69</v>
      </c>
      <c r="B34" s="513" t="s">
        <v>306</v>
      </c>
      <c r="C34" s="26" t="s">
        <v>134</v>
      </c>
      <c r="D34" s="515">
        <f>E34</f>
        <v>3175</v>
      </c>
      <c r="E34" s="515">
        <v>3175</v>
      </c>
      <c r="F34" s="516" t="s">
        <v>135</v>
      </c>
      <c r="G34" s="517"/>
      <c r="H34" s="59"/>
    </row>
    <row r="35" spans="1:8" ht="54" customHeight="1" x14ac:dyDescent="0.35">
      <c r="A35" s="512" t="s">
        <v>69</v>
      </c>
      <c r="B35" s="25" t="s">
        <v>816</v>
      </c>
      <c r="C35" s="26" t="s">
        <v>136</v>
      </c>
      <c r="D35" s="9">
        <f>E35</f>
        <v>2680</v>
      </c>
      <c r="E35" s="9">
        <v>2680</v>
      </c>
      <c r="F35" s="516" t="s">
        <v>135</v>
      </c>
      <c r="G35" s="517"/>
      <c r="H35" s="59"/>
    </row>
    <row r="36" spans="1:8" ht="39" customHeight="1" x14ac:dyDescent="0.35">
      <c r="A36" s="23" t="s">
        <v>167</v>
      </c>
      <c r="B36" s="43" t="s">
        <v>137</v>
      </c>
      <c r="C36" s="97"/>
      <c r="D36" s="100">
        <f>D37</f>
        <v>1182</v>
      </c>
      <c r="E36" s="100">
        <f t="shared" ref="E36:F36" si="5">E37</f>
        <v>1182</v>
      </c>
      <c r="F36" s="100" t="str">
        <f t="shared" si="5"/>
        <v>Hộ gia đình</v>
      </c>
      <c r="G36" s="100"/>
      <c r="H36" s="59"/>
    </row>
    <row r="37" spans="1:8" s="518" customFormat="1" ht="49.5" customHeight="1" x14ac:dyDescent="0.35">
      <c r="A37" s="1"/>
      <c r="B37" s="25" t="s">
        <v>307</v>
      </c>
      <c r="C37" s="26" t="s">
        <v>138</v>
      </c>
      <c r="D37" s="515">
        <v>1182</v>
      </c>
      <c r="E37" s="515">
        <v>1182</v>
      </c>
      <c r="F37" s="101" t="s">
        <v>135</v>
      </c>
      <c r="G37" s="9"/>
      <c r="H37" s="526"/>
    </row>
    <row r="38" spans="1:8" s="518" customFormat="1" ht="26.25" customHeight="1" x14ac:dyDescent="0.35">
      <c r="A38" s="249" t="s">
        <v>64</v>
      </c>
      <c r="B38" s="519" t="s">
        <v>139</v>
      </c>
      <c r="C38" s="249"/>
      <c r="D38" s="520">
        <f>D39+D40</f>
        <v>4779.22</v>
      </c>
      <c r="E38" s="520">
        <f t="shared" ref="E38:G38" si="6">E39+E40</f>
        <v>779.22</v>
      </c>
      <c r="F38" s="520"/>
      <c r="G38" s="521">
        <f t="shared" si="6"/>
        <v>4000</v>
      </c>
      <c r="H38" s="526"/>
    </row>
    <row r="39" spans="1:8" s="518" customFormat="1" ht="39" customHeight="1" x14ac:dyDescent="0.35">
      <c r="A39" s="238" t="s">
        <v>69</v>
      </c>
      <c r="B39" s="239" t="s">
        <v>140</v>
      </c>
      <c r="C39" s="240">
        <v>1924</v>
      </c>
      <c r="D39" s="522">
        <f>C39*0.405</f>
        <v>779.22</v>
      </c>
      <c r="E39" s="522">
        <f>D39</f>
        <v>779.22</v>
      </c>
      <c r="F39" s="522" t="s">
        <v>141</v>
      </c>
      <c r="G39" s="522"/>
      <c r="H39" s="526"/>
    </row>
    <row r="40" spans="1:8" s="518" customFormat="1" ht="39" customHeight="1" x14ac:dyDescent="0.35">
      <c r="A40" s="238" t="s">
        <v>69</v>
      </c>
      <c r="B40" s="523" t="s">
        <v>142</v>
      </c>
      <c r="C40" s="240" t="s">
        <v>305</v>
      </c>
      <c r="D40" s="494">
        <f>E40+G40</f>
        <v>4000</v>
      </c>
      <c r="E40" s="494"/>
      <c r="F40" s="494"/>
      <c r="G40" s="494">
        <v>4000</v>
      </c>
      <c r="H40" s="526"/>
    </row>
    <row r="41" spans="1:8" s="518" customFormat="1" ht="30.75" customHeight="1" x14ac:dyDescent="0.35">
      <c r="A41" s="249" t="s">
        <v>65</v>
      </c>
      <c r="B41" s="250" t="s">
        <v>143</v>
      </c>
      <c r="C41" s="249" t="s">
        <v>144</v>
      </c>
      <c r="D41" s="521">
        <f>D42+D44+D46</f>
        <v>30066</v>
      </c>
      <c r="E41" s="521">
        <f t="shared" ref="E41:G41" si="7">E42+E44+E46</f>
        <v>62</v>
      </c>
      <c r="F41" s="521"/>
      <c r="G41" s="521">
        <f t="shared" si="7"/>
        <v>30004</v>
      </c>
      <c r="H41" s="526"/>
    </row>
    <row r="42" spans="1:8" s="518" customFormat="1" ht="21.75" customHeight="1" x14ac:dyDescent="0.35">
      <c r="A42" s="241">
        <v>1.1000000000000001</v>
      </c>
      <c r="B42" s="242" t="s">
        <v>145</v>
      </c>
      <c r="C42" s="241" t="s">
        <v>146</v>
      </c>
      <c r="D42" s="524">
        <f>D43</f>
        <v>7600</v>
      </c>
      <c r="E42" s="524"/>
      <c r="F42" s="524"/>
      <c r="G42" s="524">
        <f t="shared" ref="G42" si="8">G43</f>
        <v>7600</v>
      </c>
      <c r="H42" s="526"/>
    </row>
    <row r="43" spans="1:8" s="518" customFormat="1" ht="98.25" customHeight="1" x14ac:dyDescent="0.35">
      <c r="A43" s="238" t="s">
        <v>69</v>
      </c>
      <c r="B43" s="239" t="s">
        <v>817</v>
      </c>
      <c r="C43" s="240"/>
      <c r="D43" s="494">
        <f>E43+G43</f>
        <v>7600</v>
      </c>
      <c r="E43" s="494"/>
      <c r="F43" s="494"/>
      <c r="G43" s="494">
        <f>2150+4000+600+100+150+150+200+150+100</f>
        <v>7600</v>
      </c>
      <c r="H43" s="526"/>
    </row>
    <row r="44" spans="1:8" s="518" customFormat="1" ht="24" customHeight="1" x14ac:dyDescent="0.35">
      <c r="A44" s="241">
        <v>1.2</v>
      </c>
      <c r="B44" s="242" t="s">
        <v>147</v>
      </c>
      <c r="C44" s="241" t="s">
        <v>146</v>
      </c>
      <c r="D44" s="524">
        <f>D45</f>
        <v>12515</v>
      </c>
      <c r="E44" s="524">
        <f t="shared" ref="E44:G44" si="9">E45</f>
        <v>20</v>
      </c>
      <c r="F44" s="524"/>
      <c r="G44" s="524">
        <f t="shared" si="9"/>
        <v>12495</v>
      </c>
      <c r="H44" s="526"/>
    </row>
    <row r="45" spans="1:8" s="518" customFormat="1" ht="157.5" customHeight="1" x14ac:dyDescent="0.35">
      <c r="A45" s="238" t="s">
        <v>69</v>
      </c>
      <c r="B45" s="239" t="s">
        <v>148</v>
      </c>
      <c r="C45" s="240"/>
      <c r="D45" s="494">
        <f>E45+G45</f>
        <v>12515</v>
      </c>
      <c r="E45" s="494">
        <f>20</f>
        <v>20</v>
      </c>
      <c r="F45" s="494" t="s">
        <v>149</v>
      </c>
      <c r="G45" s="494">
        <f>4000+4000+100+100+4000+60+55+80+100</f>
        <v>12495</v>
      </c>
      <c r="H45" s="526"/>
    </row>
    <row r="46" spans="1:8" s="518" customFormat="1" ht="21" customHeight="1" x14ac:dyDescent="0.35">
      <c r="A46" s="525">
        <v>1.3</v>
      </c>
      <c r="B46" s="242" t="s">
        <v>150</v>
      </c>
      <c r="C46" s="241" t="s">
        <v>151</v>
      </c>
      <c r="D46" s="524">
        <f>D47</f>
        <v>9951</v>
      </c>
      <c r="E46" s="524">
        <f>E47</f>
        <v>42</v>
      </c>
      <c r="F46" s="524"/>
      <c r="G46" s="524">
        <f t="shared" ref="G46" si="10">G47</f>
        <v>9909</v>
      </c>
      <c r="H46" s="526"/>
    </row>
    <row r="47" spans="1:8" s="518" customFormat="1" ht="69.75" customHeight="1" x14ac:dyDescent="0.35">
      <c r="A47" s="238" t="s">
        <v>69</v>
      </c>
      <c r="B47" s="239" t="s">
        <v>152</v>
      </c>
      <c r="C47" s="240"/>
      <c r="D47" s="494">
        <f>E47+G47</f>
        <v>9951</v>
      </c>
      <c r="E47" s="494">
        <f>42</f>
        <v>42</v>
      </c>
      <c r="F47" s="494" t="s">
        <v>149</v>
      </c>
      <c r="G47" s="494">
        <f>5800+3800+24+135+150</f>
        <v>9909</v>
      </c>
      <c r="H47" s="526"/>
    </row>
    <row r="48" spans="1:8" s="518" customFormat="1" ht="21.75" customHeight="1" x14ac:dyDescent="0.35">
      <c r="A48" s="249" t="s">
        <v>153</v>
      </c>
      <c r="B48" s="250" t="s">
        <v>154</v>
      </c>
      <c r="C48" s="249"/>
      <c r="D48" s="521">
        <f>SUM(D49:D55)</f>
        <v>8580</v>
      </c>
      <c r="E48" s="521">
        <f>SUM(E49:E55)</f>
        <v>1350</v>
      </c>
      <c r="F48" s="520"/>
      <c r="G48" s="521">
        <f>SUM(G49:G55)</f>
        <v>7230</v>
      </c>
      <c r="H48" s="526"/>
    </row>
    <row r="49" spans="1:9" s="518" customFormat="1" ht="39" customHeight="1" x14ac:dyDescent="0.35">
      <c r="A49" s="238" t="s">
        <v>69</v>
      </c>
      <c r="B49" s="239" t="s">
        <v>155</v>
      </c>
      <c r="C49" s="240"/>
      <c r="D49" s="494">
        <f>E49+G49</f>
        <v>600</v>
      </c>
      <c r="E49" s="494"/>
      <c r="F49" s="494"/>
      <c r="G49" s="494">
        <v>600</v>
      </c>
      <c r="H49" s="526"/>
    </row>
    <row r="50" spans="1:9" s="518" customFormat="1" ht="27.75" customHeight="1" x14ac:dyDescent="0.35">
      <c r="A50" s="238" t="s">
        <v>69</v>
      </c>
      <c r="B50" s="239" t="s">
        <v>156</v>
      </c>
      <c r="C50" s="240"/>
      <c r="D50" s="494">
        <f t="shared" ref="D50:D53" si="11">E50+G50</f>
        <v>2000</v>
      </c>
      <c r="E50" s="494"/>
      <c r="F50" s="494"/>
      <c r="G50" s="494">
        <v>2000</v>
      </c>
      <c r="H50" s="526"/>
    </row>
    <row r="51" spans="1:9" s="518" customFormat="1" ht="39" customHeight="1" x14ac:dyDescent="0.35">
      <c r="A51" s="238" t="s">
        <v>69</v>
      </c>
      <c r="B51" s="239" t="s">
        <v>825</v>
      </c>
      <c r="C51" s="240" t="s">
        <v>151</v>
      </c>
      <c r="D51" s="494">
        <f t="shared" si="11"/>
        <v>50</v>
      </c>
      <c r="E51" s="494"/>
      <c r="F51" s="494"/>
      <c r="G51" s="494">
        <v>50</v>
      </c>
      <c r="H51" s="526"/>
    </row>
    <row r="52" spans="1:9" s="518" customFormat="1" ht="60.75" customHeight="1" x14ac:dyDescent="0.35">
      <c r="A52" s="238" t="s">
        <v>69</v>
      </c>
      <c r="B52" s="239" t="s">
        <v>824</v>
      </c>
      <c r="C52" s="240" t="s">
        <v>819</v>
      </c>
      <c r="D52" s="494">
        <f t="shared" si="11"/>
        <v>100</v>
      </c>
      <c r="E52" s="494"/>
      <c r="F52" s="494"/>
      <c r="G52" s="494">
        <v>100</v>
      </c>
      <c r="H52" s="526"/>
      <c r="I52" s="529"/>
    </row>
    <row r="53" spans="1:9" s="518" customFormat="1" ht="39" customHeight="1" x14ac:dyDescent="0.35">
      <c r="A53" s="238" t="s">
        <v>22</v>
      </c>
      <c r="B53" s="239" t="s">
        <v>158</v>
      </c>
      <c r="C53" s="240" t="s">
        <v>159</v>
      </c>
      <c r="D53" s="494">
        <f t="shared" si="11"/>
        <v>5000</v>
      </c>
      <c r="E53" s="494">
        <v>1000</v>
      </c>
      <c r="F53" s="494" t="s">
        <v>160</v>
      </c>
      <c r="G53" s="494">
        <v>4000</v>
      </c>
      <c r="H53" s="526"/>
    </row>
    <row r="54" spans="1:9" s="518" customFormat="1" ht="39" customHeight="1" x14ac:dyDescent="0.35">
      <c r="A54" s="238" t="s">
        <v>22</v>
      </c>
      <c r="B54" s="239" t="s">
        <v>820</v>
      </c>
      <c r="C54" s="240" t="s">
        <v>161</v>
      </c>
      <c r="D54" s="494">
        <v>500</v>
      </c>
      <c r="E54" s="494">
        <v>200</v>
      </c>
      <c r="F54" s="494" t="s">
        <v>160</v>
      </c>
      <c r="G54" s="494">
        <v>300</v>
      </c>
      <c r="H54" s="526"/>
      <c r="I54" s="529"/>
    </row>
    <row r="55" spans="1:9" s="518" customFormat="1" ht="39" customHeight="1" x14ac:dyDescent="0.35">
      <c r="A55" s="238" t="s">
        <v>22</v>
      </c>
      <c r="B55" s="278" t="s">
        <v>809</v>
      </c>
      <c r="C55" s="240" t="s">
        <v>162</v>
      </c>
      <c r="D55" s="494">
        <v>330</v>
      </c>
      <c r="E55" s="494">
        <v>150</v>
      </c>
      <c r="F55" s="494" t="s">
        <v>163</v>
      </c>
      <c r="G55" s="494">
        <v>180</v>
      </c>
      <c r="H55" s="526"/>
    </row>
  </sheetData>
  <mergeCells count="3">
    <mergeCell ref="A1:H1"/>
    <mergeCell ref="A3:C3"/>
    <mergeCell ref="E2:F2"/>
  </mergeCells>
  <pageMargins left="0.74" right="0.25" top="0.47" bottom="0.2" header="0.3" footer="0.2"/>
  <pageSetup paperSize="9" orientation="landscape"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7"/>
  <sheetViews>
    <sheetView topLeftCell="A88" zoomScale="110" zoomScaleNormal="110" workbookViewId="0">
      <selection activeCell="A104" sqref="A104"/>
    </sheetView>
  </sheetViews>
  <sheetFormatPr defaultColWidth="9.1796875" defaultRowHeight="15.5" x14ac:dyDescent="0.35"/>
  <cols>
    <col min="1" max="1" width="5.7265625" style="46" customWidth="1"/>
    <col min="2" max="2" width="41.453125" style="342" customWidth="1"/>
    <col min="3" max="3" width="13.54296875" style="46" customWidth="1"/>
    <col min="4" max="4" width="13.26953125" style="342" customWidth="1"/>
    <col min="5" max="5" width="16.81640625" style="354" customWidth="1"/>
    <col min="6" max="16384" width="9.1796875" style="46"/>
  </cols>
  <sheetData>
    <row r="1" spans="1:5" ht="39" customHeight="1" x14ac:dyDescent="0.35">
      <c r="A1" s="600" t="s">
        <v>569</v>
      </c>
      <c r="B1" s="600"/>
      <c r="C1" s="600"/>
      <c r="D1" s="600"/>
      <c r="E1" s="600"/>
    </row>
    <row r="2" spans="1:5" ht="25" customHeight="1" x14ac:dyDescent="0.35">
      <c r="E2" s="391" t="s">
        <v>6</v>
      </c>
    </row>
    <row r="3" spans="1:5" ht="28" customHeight="1" x14ac:dyDescent="0.35">
      <c r="A3" s="580" t="s">
        <v>0</v>
      </c>
      <c r="B3" s="580" t="s">
        <v>1</v>
      </c>
      <c r="C3" s="598" t="s">
        <v>645</v>
      </c>
      <c r="D3" s="598" t="s">
        <v>12</v>
      </c>
      <c r="E3" s="601" t="s">
        <v>9</v>
      </c>
    </row>
    <row r="4" spans="1:5" ht="27" customHeight="1" x14ac:dyDescent="0.35">
      <c r="A4" s="580"/>
      <c r="B4" s="580"/>
      <c r="C4" s="599"/>
      <c r="D4" s="599"/>
      <c r="E4" s="602"/>
    </row>
    <row r="5" spans="1:5" ht="18.649999999999999" customHeight="1" x14ac:dyDescent="0.35">
      <c r="A5" s="86" t="s">
        <v>16</v>
      </c>
      <c r="B5" s="38" t="s">
        <v>517</v>
      </c>
      <c r="C5" s="39"/>
      <c r="D5" s="343"/>
      <c r="E5" s="155">
        <f>E6+E31+E57+E76+E100+E122</f>
        <v>7571.3549999999996</v>
      </c>
    </row>
    <row r="6" spans="1:5" ht="18.649999999999999" customHeight="1" x14ac:dyDescent="0.35">
      <c r="A6" s="307" t="s">
        <v>7</v>
      </c>
      <c r="B6" s="69" t="s">
        <v>77</v>
      </c>
      <c r="C6" s="272"/>
      <c r="D6" s="345"/>
      <c r="E6" s="358">
        <f>E7+E13+E18+E21+E24+E27+E29</f>
        <v>1510.81</v>
      </c>
    </row>
    <row r="7" spans="1:5" ht="18.649999999999999" customHeight="1" x14ac:dyDescent="0.35">
      <c r="A7" s="86">
        <v>1</v>
      </c>
      <c r="B7" s="38" t="s">
        <v>13</v>
      </c>
      <c r="C7" s="86"/>
      <c r="D7" s="38"/>
      <c r="E7" s="155">
        <f>E8+E9</f>
        <v>853</v>
      </c>
    </row>
    <row r="8" spans="1:5" ht="18.649999999999999" customHeight="1" x14ac:dyDescent="0.35">
      <c r="A8" s="31"/>
      <c r="B8" s="32" t="s">
        <v>532</v>
      </c>
      <c r="C8" s="31" t="s">
        <v>767</v>
      </c>
      <c r="D8" s="31">
        <v>4</v>
      </c>
      <c r="E8" s="142">
        <v>400</v>
      </c>
    </row>
    <row r="9" spans="1:5" ht="18.649999999999999" customHeight="1" x14ac:dyDescent="0.35">
      <c r="A9" s="31"/>
      <c r="B9" s="32" t="s">
        <v>21</v>
      </c>
      <c r="C9" s="31"/>
      <c r="D9" s="44"/>
      <c r="E9" s="142">
        <v>453</v>
      </c>
    </row>
    <row r="10" spans="1:5" ht="18.649999999999999" customHeight="1" x14ac:dyDescent="0.35">
      <c r="A10" s="31"/>
      <c r="B10" s="50" t="s">
        <v>23</v>
      </c>
      <c r="C10" s="47" t="s">
        <v>767</v>
      </c>
      <c r="D10" s="31">
        <v>10</v>
      </c>
      <c r="E10" s="142">
        <v>150</v>
      </c>
    </row>
    <row r="11" spans="1:5" ht="18.649999999999999" customHeight="1" x14ac:dyDescent="0.35">
      <c r="A11" s="31"/>
      <c r="B11" s="50" t="s">
        <v>24</v>
      </c>
      <c r="C11" s="47" t="s">
        <v>767</v>
      </c>
      <c r="D11" s="31">
        <v>11</v>
      </c>
      <c r="E11" s="142">
        <v>275</v>
      </c>
    </row>
    <row r="12" spans="1:5" ht="18.649999999999999" customHeight="1" x14ac:dyDescent="0.35">
      <c r="A12" s="31"/>
      <c r="B12" s="50" t="s">
        <v>25</v>
      </c>
      <c r="C12" s="47" t="s">
        <v>767</v>
      </c>
      <c r="D12" s="31">
        <v>6</v>
      </c>
      <c r="E12" s="142">
        <v>18</v>
      </c>
    </row>
    <row r="13" spans="1:5" ht="18.649999999999999" customHeight="1" x14ac:dyDescent="0.35">
      <c r="A13" s="86">
        <v>2</v>
      </c>
      <c r="B13" s="51" t="s">
        <v>14</v>
      </c>
      <c r="C13" s="86"/>
      <c r="D13" s="86"/>
      <c r="E13" s="154">
        <f>SUM(E14:E17)</f>
        <v>116</v>
      </c>
    </row>
    <row r="14" spans="1:5" ht="32.25" customHeight="1" x14ac:dyDescent="0.35">
      <c r="A14" s="31" t="s">
        <v>69</v>
      </c>
      <c r="B14" s="32" t="s">
        <v>855</v>
      </c>
      <c r="C14" s="31" t="s">
        <v>735</v>
      </c>
      <c r="D14" s="31">
        <v>1200</v>
      </c>
      <c r="E14" s="142">
        <v>36</v>
      </c>
    </row>
    <row r="15" spans="1:5" ht="18.649999999999999" customHeight="1" x14ac:dyDescent="0.35">
      <c r="A15" s="86" t="s">
        <v>69</v>
      </c>
      <c r="B15" s="32" t="s">
        <v>847</v>
      </c>
      <c r="C15" s="31" t="s">
        <v>790</v>
      </c>
      <c r="D15" s="31">
        <v>20</v>
      </c>
      <c r="E15" s="142">
        <v>35</v>
      </c>
    </row>
    <row r="16" spans="1:5" ht="18.649999999999999" customHeight="1" x14ac:dyDescent="0.35">
      <c r="A16" s="534" t="s">
        <v>69</v>
      </c>
      <c r="B16" s="32" t="s">
        <v>533</v>
      </c>
      <c r="C16" s="31" t="s">
        <v>790</v>
      </c>
      <c r="D16" s="31">
        <v>9</v>
      </c>
      <c r="E16" s="142">
        <v>30</v>
      </c>
    </row>
    <row r="17" spans="1:5" ht="18.649999999999999" customHeight="1" x14ac:dyDescent="0.35">
      <c r="A17" s="86" t="s">
        <v>69</v>
      </c>
      <c r="B17" s="32" t="s">
        <v>356</v>
      </c>
      <c r="C17" s="31" t="s">
        <v>791</v>
      </c>
      <c r="D17" s="31">
        <v>15</v>
      </c>
      <c r="E17" s="142">
        <v>15</v>
      </c>
    </row>
    <row r="18" spans="1:5" ht="18.649999999999999" customHeight="1" x14ac:dyDescent="0.35">
      <c r="A18" s="86">
        <v>3</v>
      </c>
      <c r="B18" s="51" t="s">
        <v>32</v>
      </c>
      <c r="C18" s="86"/>
      <c r="D18" s="86"/>
      <c r="E18" s="154">
        <f>E19+E20</f>
        <v>32.71</v>
      </c>
    </row>
    <row r="19" spans="1:5" ht="18.649999999999999" customHeight="1" x14ac:dyDescent="0.35">
      <c r="A19" s="86" t="s">
        <v>69</v>
      </c>
      <c r="B19" s="32" t="s">
        <v>522</v>
      </c>
      <c r="C19" s="31" t="s">
        <v>739</v>
      </c>
      <c r="D19" s="44">
        <v>450</v>
      </c>
      <c r="E19" s="140">
        <v>20.25</v>
      </c>
    </row>
    <row r="20" spans="1:5" ht="18.649999999999999" customHeight="1" x14ac:dyDescent="0.35">
      <c r="A20" s="86" t="s">
        <v>69</v>
      </c>
      <c r="B20" s="32" t="s">
        <v>359</v>
      </c>
      <c r="C20" s="31" t="s">
        <v>654</v>
      </c>
      <c r="D20" s="44">
        <v>890</v>
      </c>
      <c r="E20" s="140">
        <v>12.46</v>
      </c>
    </row>
    <row r="21" spans="1:5" ht="18.649999999999999" customHeight="1" x14ac:dyDescent="0.35">
      <c r="A21" s="86">
        <v>4</v>
      </c>
      <c r="B21" s="51" t="s">
        <v>11</v>
      </c>
      <c r="C21" s="86"/>
      <c r="D21" s="86"/>
      <c r="E21" s="155">
        <f>SUM(E22:E23)</f>
        <v>322.5</v>
      </c>
    </row>
    <row r="22" spans="1:5" ht="18.649999999999999" customHeight="1" x14ac:dyDescent="0.35">
      <c r="A22" s="86" t="s">
        <v>69</v>
      </c>
      <c r="B22" s="32" t="s">
        <v>534</v>
      </c>
      <c r="C22" s="31" t="s">
        <v>654</v>
      </c>
      <c r="D22" s="44">
        <v>250</v>
      </c>
      <c r="E22" s="142">
        <v>200</v>
      </c>
    </row>
    <row r="23" spans="1:5" ht="18.649999999999999" customHeight="1" x14ac:dyDescent="0.35">
      <c r="A23" s="86" t="s">
        <v>69</v>
      </c>
      <c r="B23" s="32" t="s">
        <v>540</v>
      </c>
      <c r="C23" s="31" t="s">
        <v>654</v>
      </c>
      <c r="D23" s="44">
        <v>350</v>
      </c>
      <c r="E23" s="140">
        <v>122.5</v>
      </c>
    </row>
    <row r="24" spans="1:5" ht="18.649999999999999" customHeight="1" x14ac:dyDescent="0.35">
      <c r="A24" s="86">
        <v>5</v>
      </c>
      <c r="B24" s="51" t="s">
        <v>45</v>
      </c>
      <c r="C24" s="86"/>
      <c r="D24" s="31"/>
      <c r="E24" s="155">
        <f>SUM(E25:E26)</f>
        <v>38</v>
      </c>
    </row>
    <row r="25" spans="1:5" ht="18.649999999999999" customHeight="1" x14ac:dyDescent="0.35">
      <c r="A25" s="86" t="s">
        <v>69</v>
      </c>
      <c r="B25" s="32" t="s">
        <v>535</v>
      </c>
      <c r="C25" s="31" t="s">
        <v>654</v>
      </c>
      <c r="D25" s="31">
        <v>150</v>
      </c>
      <c r="E25" s="387">
        <v>18</v>
      </c>
    </row>
    <row r="26" spans="1:5" ht="18.649999999999999" customHeight="1" x14ac:dyDescent="0.35">
      <c r="A26" s="86" t="s">
        <v>69</v>
      </c>
      <c r="B26" s="32" t="s">
        <v>537</v>
      </c>
      <c r="C26" s="31" t="s">
        <v>683</v>
      </c>
      <c r="D26" s="31">
        <v>10</v>
      </c>
      <c r="E26" s="387">
        <v>20</v>
      </c>
    </row>
    <row r="27" spans="1:5" ht="18.649999999999999" customHeight="1" x14ac:dyDescent="0.35">
      <c r="A27" s="86">
        <v>6</v>
      </c>
      <c r="B27" s="51" t="s">
        <v>538</v>
      </c>
      <c r="C27" s="86"/>
      <c r="D27" s="86"/>
      <c r="E27" s="154">
        <f>E28</f>
        <v>48.6</v>
      </c>
    </row>
    <row r="28" spans="1:5" ht="18.649999999999999" customHeight="1" x14ac:dyDescent="0.35">
      <c r="A28" s="86" t="s">
        <v>69</v>
      </c>
      <c r="B28" s="32" t="s">
        <v>539</v>
      </c>
      <c r="C28" s="31" t="s">
        <v>654</v>
      </c>
      <c r="D28" s="44">
        <v>3240</v>
      </c>
      <c r="E28" s="388">
        <v>48.6</v>
      </c>
    </row>
    <row r="29" spans="1:5" ht="18.649999999999999" customHeight="1" x14ac:dyDescent="0.35">
      <c r="A29" s="86">
        <v>7</v>
      </c>
      <c r="B29" s="51" t="s">
        <v>66</v>
      </c>
      <c r="C29" s="86"/>
      <c r="D29" s="389"/>
      <c r="E29" s="390">
        <f>E30</f>
        <v>100</v>
      </c>
    </row>
    <row r="30" spans="1:5" ht="18.649999999999999" customHeight="1" x14ac:dyDescent="0.35">
      <c r="A30" s="86" t="s">
        <v>69</v>
      </c>
      <c r="B30" s="32" t="s">
        <v>357</v>
      </c>
      <c r="C30" s="31" t="s">
        <v>791</v>
      </c>
      <c r="D30" s="31">
        <v>50</v>
      </c>
      <c r="E30" s="387">
        <v>100</v>
      </c>
    </row>
    <row r="31" spans="1:5" s="40" customFormat="1" ht="17.25" customHeight="1" x14ac:dyDescent="0.35">
      <c r="A31" s="68" t="s">
        <v>570</v>
      </c>
      <c r="B31" s="69" t="s">
        <v>519</v>
      </c>
      <c r="C31" s="272"/>
      <c r="D31" s="272"/>
      <c r="E31" s="196">
        <f>E32+E38+E42+E45+E47+E53+E55</f>
        <v>1030.1500000000001</v>
      </c>
    </row>
    <row r="32" spans="1:5" s="40" customFormat="1" ht="17.25" customHeight="1" x14ac:dyDescent="0.35">
      <c r="A32" s="97">
        <v>1</v>
      </c>
      <c r="B32" s="41" t="s">
        <v>13</v>
      </c>
      <c r="C32" s="97"/>
      <c r="D32" s="41"/>
      <c r="E32" s="155">
        <f>E33+E34</f>
        <v>710</v>
      </c>
    </row>
    <row r="33" spans="1:5" s="40" customFormat="1" ht="17.25" customHeight="1" x14ac:dyDescent="0.35">
      <c r="A33" s="270" t="s">
        <v>69</v>
      </c>
      <c r="B33" s="351" t="s">
        <v>520</v>
      </c>
      <c r="C33" s="26" t="s">
        <v>767</v>
      </c>
      <c r="D33" s="26">
        <v>4</v>
      </c>
      <c r="E33" s="142">
        <v>430</v>
      </c>
    </row>
    <row r="34" spans="1:5" s="40" customFormat="1" ht="17.25" customHeight="1" x14ac:dyDescent="0.35">
      <c r="A34" s="270" t="s">
        <v>69</v>
      </c>
      <c r="B34" s="27" t="s">
        <v>21</v>
      </c>
      <c r="C34" s="26"/>
      <c r="D34" s="100"/>
      <c r="E34" s="142">
        <v>280</v>
      </c>
    </row>
    <row r="35" spans="1:5" s="40" customFormat="1" ht="17.25" customHeight="1" x14ac:dyDescent="0.35">
      <c r="A35" s="352"/>
      <c r="B35" s="50" t="s">
        <v>23</v>
      </c>
      <c r="C35" s="47" t="s">
        <v>767</v>
      </c>
      <c r="D35" s="31">
        <v>6</v>
      </c>
      <c r="E35" s="142">
        <v>180</v>
      </c>
    </row>
    <row r="36" spans="1:5" s="40" customFormat="1" ht="17.25" customHeight="1" x14ac:dyDescent="0.35">
      <c r="A36" s="352"/>
      <c r="B36" s="50" t="s">
        <v>24</v>
      </c>
      <c r="C36" s="47" t="s">
        <v>767</v>
      </c>
      <c r="D36" s="31">
        <v>10</v>
      </c>
      <c r="E36" s="142">
        <v>50</v>
      </c>
    </row>
    <row r="37" spans="1:5" ht="17.25" customHeight="1" x14ac:dyDescent="0.35">
      <c r="A37" s="352"/>
      <c r="B37" s="50" t="s">
        <v>25</v>
      </c>
      <c r="C37" s="47" t="s">
        <v>767</v>
      </c>
      <c r="D37" s="31">
        <v>10</v>
      </c>
      <c r="E37" s="142">
        <v>50</v>
      </c>
    </row>
    <row r="38" spans="1:5" ht="17.25" customHeight="1" x14ac:dyDescent="0.35">
      <c r="A38" s="97">
        <v>2</v>
      </c>
      <c r="B38" s="43" t="s">
        <v>14</v>
      </c>
      <c r="C38" s="97"/>
      <c r="D38" s="97"/>
      <c r="E38" s="154">
        <f>SUM(E39:E41)</f>
        <v>47.5</v>
      </c>
    </row>
    <row r="39" spans="1:5" ht="17.25" customHeight="1" x14ac:dyDescent="0.35">
      <c r="A39" s="26" t="s">
        <v>69</v>
      </c>
      <c r="B39" s="27" t="s">
        <v>521</v>
      </c>
      <c r="C39" s="26" t="s">
        <v>735</v>
      </c>
      <c r="D39" s="26">
        <v>200</v>
      </c>
      <c r="E39" s="142">
        <v>16</v>
      </c>
    </row>
    <row r="40" spans="1:5" ht="17.25" customHeight="1" x14ac:dyDescent="0.35">
      <c r="A40" s="97" t="s">
        <v>69</v>
      </c>
      <c r="B40" s="27" t="s">
        <v>313</v>
      </c>
      <c r="C40" s="26" t="s">
        <v>790</v>
      </c>
      <c r="D40" s="26">
        <v>9</v>
      </c>
      <c r="E40" s="142">
        <v>27</v>
      </c>
    </row>
    <row r="41" spans="1:5" ht="17.25" customHeight="1" x14ac:dyDescent="0.35">
      <c r="A41" s="97" t="s">
        <v>69</v>
      </c>
      <c r="B41" s="27" t="s">
        <v>356</v>
      </c>
      <c r="C41" s="26" t="s">
        <v>791</v>
      </c>
      <c r="D41" s="26">
        <v>9</v>
      </c>
      <c r="E41" s="140">
        <v>4.5</v>
      </c>
    </row>
    <row r="42" spans="1:5" ht="17.25" customHeight="1" x14ac:dyDescent="0.35">
      <c r="A42" s="97">
        <v>3</v>
      </c>
      <c r="B42" s="43" t="s">
        <v>32</v>
      </c>
      <c r="C42" s="97"/>
      <c r="D42" s="97"/>
      <c r="E42" s="154">
        <f>E43+E44</f>
        <v>78.650000000000006</v>
      </c>
    </row>
    <row r="43" spans="1:5" ht="17.25" customHeight="1" x14ac:dyDescent="0.35">
      <c r="A43" s="97" t="s">
        <v>69</v>
      </c>
      <c r="B43" s="27" t="s">
        <v>522</v>
      </c>
      <c r="C43" s="26" t="s">
        <v>654</v>
      </c>
      <c r="D43" s="101">
        <v>1708</v>
      </c>
      <c r="E43" s="140">
        <v>53.6</v>
      </c>
    </row>
    <row r="44" spans="1:5" ht="17.25" customHeight="1" x14ac:dyDescent="0.35">
      <c r="A44" s="97" t="s">
        <v>69</v>
      </c>
      <c r="B44" s="27" t="s">
        <v>359</v>
      </c>
      <c r="C44" s="26" t="s">
        <v>654</v>
      </c>
      <c r="D44" s="101">
        <v>1670</v>
      </c>
      <c r="E44" s="140">
        <v>25.05</v>
      </c>
    </row>
    <row r="45" spans="1:5" ht="17.25" customHeight="1" x14ac:dyDescent="0.35">
      <c r="A45" s="97">
        <v>4</v>
      </c>
      <c r="B45" s="43" t="s">
        <v>523</v>
      </c>
      <c r="C45" s="97"/>
      <c r="D45" s="97"/>
      <c r="E45" s="154">
        <f>E46</f>
        <v>62.1</v>
      </c>
    </row>
    <row r="46" spans="1:5" ht="17.25" customHeight="1" x14ac:dyDescent="0.35">
      <c r="A46" s="149" t="s">
        <v>69</v>
      </c>
      <c r="B46" s="27" t="s">
        <v>531</v>
      </c>
      <c r="C46" s="26" t="s">
        <v>654</v>
      </c>
      <c r="D46" s="101">
        <v>150</v>
      </c>
      <c r="E46" s="140">
        <v>62.1</v>
      </c>
    </row>
    <row r="47" spans="1:5" ht="17.25" customHeight="1" x14ac:dyDescent="0.35">
      <c r="A47" s="97">
        <v>5</v>
      </c>
      <c r="B47" s="43" t="s">
        <v>45</v>
      </c>
      <c r="C47" s="97"/>
      <c r="D47" s="26"/>
      <c r="E47" s="154">
        <f>E48+E51</f>
        <v>28.5</v>
      </c>
    </row>
    <row r="48" spans="1:5" ht="17.25" customHeight="1" x14ac:dyDescent="0.35">
      <c r="A48" s="270" t="s">
        <v>69</v>
      </c>
      <c r="B48" s="43" t="s">
        <v>525</v>
      </c>
      <c r="C48" s="97"/>
      <c r="D48" s="26"/>
      <c r="E48" s="140">
        <f>SUM(E49:E50)</f>
        <v>22.5</v>
      </c>
    </row>
    <row r="49" spans="1:5" ht="17.25" customHeight="1" x14ac:dyDescent="0.35">
      <c r="A49" s="97"/>
      <c r="B49" s="27" t="s">
        <v>527</v>
      </c>
      <c r="C49" s="26" t="s">
        <v>670</v>
      </c>
      <c r="D49" s="26">
        <v>100</v>
      </c>
      <c r="E49" s="142">
        <v>20</v>
      </c>
    </row>
    <row r="50" spans="1:5" ht="17.25" customHeight="1" x14ac:dyDescent="0.35">
      <c r="A50" s="97"/>
      <c r="B50" s="27" t="s">
        <v>528</v>
      </c>
      <c r="C50" s="26" t="s">
        <v>683</v>
      </c>
      <c r="D50" s="26">
        <v>5</v>
      </c>
      <c r="E50" s="140">
        <v>2.5</v>
      </c>
    </row>
    <row r="51" spans="1:5" ht="17.25" customHeight="1" x14ac:dyDescent="0.35">
      <c r="A51" s="270" t="s">
        <v>69</v>
      </c>
      <c r="B51" s="43" t="s">
        <v>56</v>
      </c>
      <c r="C51" s="97"/>
      <c r="D51" s="97"/>
      <c r="E51" s="142">
        <v>6</v>
      </c>
    </row>
    <row r="52" spans="1:5" ht="17.25" customHeight="1" x14ac:dyDescent="0.35">
      <c r="A52" s="97"/>
      <c r="B52" s="27" t="s">
        <v>529</v>
      </c>
      <c r="C52" s="26" t="s">
        <v>808</v>
      </c>
      <c r="D52" s="26">
        <v>200</v>
      </c>
      <c r="E52" s="142">
        <v>6</v>
      </c>
    </row>
    <row r="53" spans="1:5" ht="17.25" customHeight="1" x14ac:dyDescent="0.35">
      <c r="A53" s="97">
        <v>6</v>
      </c>
      <c r="B53" s="43" t="s">
        <v>322</v>
      </c>
      <c r="C53" s="97"/>
      <c r="D53" s="26"/>
      <c r="E53" s="154">
        <f>E54</f>
        <v>34.4</v>
      </c>
    </row>
    <row r="54" spans="1:5" ht="17.25" customHeight="1" x14ac:dyDescent="0.35">
      <c r="A54" s="97" t="s">
        <v>69</v>
      </c>
      <c r="B54" s="27" t="s">
        <v>848</v>
      </c>
      <c r="C54" s="26" t="s">
        <v>654</v>
      </c>
      <c r="D54" s="101">
        <v>1950</v>
      </c>
      <c r="E54" s="140">
        <v>34.4</v>
      </c>
    </row>
    <row r="55" spans="1:5" ht="17.25" customHeight="1" x14ac:dyDescent="0.35">
      <c r="A55" s="97">
        <v>7</v>
      </c>
      <c r="B55" s="43" t="s">
        <v>66</v>
      </c>
      <c r="C55" s="97"/>
      <c r="D55" s="353"/>
      <c r="E55" s="155">
        <f>E56</f>
        <v>69</v>
      </c>
    </row>
    <row r="56" spans="1:5" ht="17.25" customHeight="1" x14ac:dyDescent="0.35">
      <c r="A56" s="149" t="s">
        <v>69</v>
      </c>
      <c r="B56" s="27" t="s">
        <v>530</v>
      </c>
      <c r="C56" s="26" t="s">
        <v>791</v>
      </c>
      <c r="D56" s="353">
        <v>23</v>
      </c>
      <c r="E56" s="142">
        <v>69</v>
      </c>
    </row>
    <row r="57" spans="1:5" ht="25" customHeight="1" x14ac:dyDescent="0.35">
      <c r="A57" s="68" t="s">
        <v>31</v>
      </c>
      <c r="B57" s="69" t="s">
        <v>251</v>
      </c>
      <c r="C57" s="68"/>
      <c r="D57" s="344"/>
      <c r="E57" s="366">
        <f>E58+E64+E67+E70+E72+E74</f>
        <v>1097.28</v>
      </c>
    </row>
    <row r="58" spans="1:5" ht="19.5" customHeight="1" x14ac:dyDescent="0.35">
      <c r="A58" s="86">
        <v>1</v>
      </c>
      <c r="B58" s="41" t="s">
        <v>13</v>
      </c>
      <c r="C58" s="97"/>
      <c r="D58" s="97"/>
      <c r="E58" s="365">
        <f>E59+E60</f>
        <v>795</v>
      </c>
    </row>
    <row r="59" spans="1:5" ht="19.5" customHeight="1" x14ac:dyDescent="0.35">
      <c r="A59" s="37" t="s">
        <v>69</v>
      </c>
      <c r="B59" s="32" t="s">
        <v>532</v>
      </c>
      <c r="C59" s="31" t="s">
        <v>767</v>
      </c>
      <c r="D59" s="31">
        <v>6</v>
      </c>
      <c r="E59" s="362">
        <v>120</v>
      </c>
    </row>
    <row r="60" spans="1:5" ht="19.5" customHeight="1" x14ac:dyDescent="0.35">
      <c r="A60" s="37" t="s">
        <v>69</v>
      </c>
      <c r="B60" s="32" t="s">
        <v>21</v>
      </c>
      <c r="C60" s="31"/>
      <c r="D60" s="31"/>
      <c r="E60" s="362">
        <f>SUM(E61:E63)</f>
        <v>675</v>
      </c>
    </row>
    <row r="61" spans="1:5" ht="19.5" customHeight="1" x14ac:dyDescent="0.35">
      <c r="A61" s="200"/>
      <c r="B61" s="42" t="s">
        <v>23</v>
      </c>
      <c r="C61" s="98" t="s">
        <v>767</v>
      </c>
      <c r="D61" s="26">
        <v>10</v>
      </c>
      <c r="E61" s="363">
        <v>300</v>
      </c>
    </row>
    <row r="62" spans="1:5" ht="19.5" customHeight="1" x14ac:dyDescent="0.35">
      <c r="A62" s="200"/>
      <c r="B62" s="42" t="s">
        <v>24</v>
      </c>
      <c r="C62" s="98" t="s">
        <v>767</v>
      </c>
      <c r="D62" s="26">
        <v>15</v>
      </c>
      <c r="E62" s="363">
        <v>175</v>
      </c>
    </row>
    <row r="63" spans="1:5" ht="19.5" customHeight="1" x14ac:dyDescent="0.35">
      <c r="A63" s="200"/>
      <c r="B63" s="42" t="s">
        <v>25</v>
      </c>
      <c r="C63" s="98" t="s">
        <v>767</v>
      </c>
      <c r="D63" s="26">
        <v>20</v>
      </c>
      <c r="E63" s="363">
        <v>200</v>
      </c>
    </row>
    <row r="64" spans="1:5" x14ac:dyDescent="0.35">
      <c r="A64" s="200">
        <v>2</v>
      </c>
      <c r="B64" s="43" t="s">
        <v>14</v>
      </c>
      <c r="C64" s="97"/>
      <c r="D64" s="97"/>
      <c r="E64" s="360">
        <f>E65+E66</f>
        <v>73</v>
      </c>
    </row>
    <row r="65" spans="1:5" x14ac:dyDescent="0.35">
      <c r="A65" s="364" t="s">
        <v>69</v>
      </c>
      <c r="B65" s="27" t="s">
        <v>542</v>
      </c>
      <c r="C65" s="26" t="s">
        <v>789</v>
      </c>
      <c r="D65" s="26">
        <v>12</v>
      </c>
      <c r="E65" s="359">
        <v>28</v>
      </c>
    </row>
    <row r="66" spans="1:5" ht="31" x14ac:dyDescent="0.35">
      <c r="A66" s="364" t="s">
        <v>69</v>
      </c>
      <c r="B66" s="27" t="s">
        <v>543</v>
      </c>
      <c r="C66" s="26" t="s">
        <v>790</v>
      </c>
      <c r="D66" s="26">
        <v>15</v>
      </c>
      <c r="E66" s="359">
        <v>45</v>
      </c>
    </row>
    <row r="67" spans="1:5" x14ac:dyDescent="0.35">
      <c r="A67" s="200">
        <v>3</v>
      </c>
      <c r="B67" s="43" t="s">
        <v>518</v>
      </c>
      <c r="C67" s="97"/>
      <c r="D67" s="97"/>
      <c r="E67" s="360">
        <v>47.48</v>
      </c>
    </row>
    <row r="68" spans="1:5" x14ac:dyDescent="0.35">
      <c r="A68" s="364"/>
      <c r="B68" s="27" t="s">
        <v>544</v>
      </c>
      <c r="C68" s="26" t="s">
        <v>739</v>
      </c>
      <c r="D68" s="26">
        <v>524</v>
      </c>
      <c r="E68" s="359">
        <v>36.68</v>
      </c>
    </row>
    <row r="69" spans="1:5" x14ac:dyDescent="0.35">
      <c r="A69" s="200"/>
      <c r="B69" s="27" t="s">
        <v>545</v>
      </c>
      <c r="C69" s="26" t="s">
        <v>654</v>
      </c>
      <c r="D69" s="26">
        <v>710</v>
      </c>
      <c r="E69" s="359">
        <v>10.8</v>
      </c>
    </row>
    <row r="70" spans="1:5" x14ac:dyDescent="0.35">
      <c r="A70" s="200">
        <v>4</v>
      </c>
      <c r="B70" s="43" t="s">
        <v>204</v>
      </c>
      <c r="C70" s="97"/>
      <c r="D70" s="361"/>
      <c r="E70" s="360">
        <f>E71</f>
        <v>116.8</v>
      </c>
    </row>
    <row r="71" spans="1:5" x14ac:dyDescent="0.35">
      <c r="A71" s="200"/>
      <c r="B71" s="27" t="s">
        <v>548</v>
      </c>
      <c r="C71" s="26" t="s">
        <v>654</v>
      </c>
      <c r="D71" s="26">
        <v>400</v>
      </c>
      <c r="E71" s="359">
        <v>116.8</v>
      </c>
    </row>
    <row r="72" spans="1:5" x14ac:dyDescent="0.35">
      <c r="A72" s="200">
        <v>5</v>
      </c>
      <c r="B72" s="43" t="s">
        <v>61</v>
      </c>
      <c r="C72" s="97"/>
      <c r="D72" s="97"/>
      <c r="E72" s="360">
        <f>E73</f>
        <v>25</v>
      </c>
    </row>
    <row r="73" spans="1:5" x14ac:dyDescent="0.35">
      <c r="A73" s="200"/>
      <c r="B73" s="27" t="s">
        <v>546</v>
      </c>
      <c r="C73" s="26" t="s">
        <v>654</v>
      </c>
      <c r="D73" s="26">
        <v>1160</v>
      </c>
      <c r="E73" s="359">
        <v>25</v>
      </c>
    </row>
    <row r="74" spans="1:5" x14ac:dyDescent="0.35">
      <c r="A74" s="200">
        <v>6</v>
      </c>
      <c r="B74" s="43" t="s">
        <v>66</v>
      </c>
      <c r="C74" s="97"/>
      <c r="D74" s="97"/>
      <c r="E74" s="360">
        <f>E75</f>
        <v>40</v>
      </c>
    </row>
    <row r="75" spans="1:5" ht="46.5" x14ac:dyDescent="0.35">
      <c r="A75" s="200"/>
      <c r="B75" s="99" t="s">
        <v>547</v>
      </c>
      <c r="C75" s="26" t="s">
        <v>791</v>
      </c>
      <c r="D75" s="26">
        <v>40</v>
      </c>
      <c r="E75" s="359">
        <v>40</v>
      </c>
    </row>
    <row r="76" spans="1:5" x14ac:dyDescent="0.35">
      <c r="A76" s="308" t="s">
        <v>35</v>
      </c>
      <c r="B76" s="368" t="s">
        <v>265</v>
      </c>
      <c r="C76" s="308"/>
      <c r="D76" s="368"/>
      <c r="E76" s="369">
        <f>E77+E83+E87+E93+E91+E89+E98</f>
        <v>1443.45</v>
      </c>
    </row>
    <row r="77" spans="1:5" x14ac:dyDescent="0.35">
      <c r="A77" s="97">
        <v>1</v>
      </c>
      <c r="B77" s="41" t="s">
        <v>13</v>
      </c>
      <c r="C77" s="97"/>
      <c r="D77" s="367"/>
      <c r="E77" s="151">
        <f>E78+E79</f>
        <v>1020</v>
      </c>
    </row>
    <row r="78" spans="1:5" x14ac:dyDescent="0.35">
      <c r="A78" s="149" t="s">
        <v>69</v>
      </c>
      <c r="B78" s="32" t="s">
        <v>532</v>
      </c>
      <c r="C78" s="26" t="s">
        <v>767</v>
      </c>
      <c r="D78" s="26">
        <v>9</v>
      </c>
      <c r="E78" s="150">
        <v>900</v>
      </c>
    </row>
    <row r="79" spans="1:5" x14ac:dyDescent="0.35">
      <c r="A79" s="149" t="s">
        <v>69</v>
      </c>
      <c r="B79" s="27" t="s">
        <v>21</v>
      </c>
      <c r="C79" s="26"/>
      <c r="D79" s="26"/>
      <c r="E79" s="150">
        <f>SUM(E80:E82)</f>
        <v>120</v>
      </c>
    </row>
    <row r="80" spans="1:5" x14ac:dyDescent="0.35">
      <c r="A80" s="26"/>
      <c r="B80" s="42" t="s">
        <v>23</v>
      </c>
      <c r="C80" s="98" t="s">
        <v>767</v>
      </c>
      <c r="D80" s="26">
        <v>12</v>
      </c>
      <c r="E80" s="150">
        <v>24</v>
      </c>
    </row>
    <row r="81" spans="1:5" x14ac:dyDescent="0.35">
      <c r="A81" s="26"/>
      <c r="B81" s="42" t="s">
        <v>24</v>
      </c>
      <c r="C81" s="98" t="s">
        <v>767</v>
      </c>
      <c r="D81" s="26">
        <v>9</v>
      </c>
      <c r="E81" s="150">
        <v>36</v>
      </c>
    </row>
    <row r="82" spans="1:5" x14ac:dyDescent="0.35">
      <c r="A82" s="26"/>
      <c r="B82" s="42" t="s">
        <v>25</v>
      </c>
      <c r="C82" s="98" t="s">
        <v>767</v>
      </c>
      <c r="D82" s="26">
        <v>15</v>
      </c>
      <c r="E82" s="150">
        <v>60</v>
      </c>
    </row>
    <row r="83" spans="1:5" x14ac:dyDescent="0.35">
      <c r="A83" s="97">
        <v>2</v>
      </c>
      <c r="B83" s="43" t="s">
        <v>14</v>
      </c>
      <c r="C83" s="97"/>
      <c r="D83" s="97"/>
      <c r="E83" s="151">
        <f>SUM(E84:E86)</f>
        <v>78.5</v>
      </c>
    </row>
    <row r="84" spans="1:5" x14ac:dyDescent="0.35">
      <c r="A84" s="26" t="s">
        <v>69</v>
      </c>
      <c r="B84" s="27" t="s">
        <v>549</v>
      </c>
      <c r="C84" s="26" t="s">
        <v>735</v>
      </c>
      <c r="D84" s="26">
        <v>290</v>
      </c>
      <c r="E84" s="150">
        <f>9.5</f>
        <v>9.5</v>
      </c>
    </row>
    <row r="85" spans="1:5" x14ac:dyDescent="0.35">
      <c r="A85" s="97" t="s">
        <v>69</v>
      </c>
      <c r="B85" s="27" t="s">
        <v>550</v>
      </c>
      <c r="C85" s="26" t="s">
        <v>790</v>
      </c>
      <c r="D85" s="26">
        <v>12</v>
      </c>
      <c r="E85" s="150">
        <v>24</v>
      </c>
    </row>
    <row r="86" spans="1:5" x14ac:dyDescent="0.35">
      <c r="A86" s="97" t="s">
        <v>69</v>
      </c>
      <c r="B86" s="27" t="s">
        <v>551</v>
      </c>
      <c r="C86" s="26" t="s">
        <v>791</v>
      </c>
      <c r="D86" s="26">
        <v>25</v>
      </c>
      <c r="E86" s="150">
        <v>45</v>
      </c>
    </row>
    <row r="87" spans="1:5" x14ac:dyDescent="0.35">
      <c r="A87" s="97">
        <v>3</v>
      </c>
      <c r="B87" s="43" t="s">
        <v>32</v>
      </c>
      <c r="C87" s="97"/>
      <c r="D87" s="26"/>
      <c r="E87" s="151">
        <f>E88</f>
        <v>14.2</v>
      </c>
    </row>
    <row r="88" spans="1:5" x14ac:dyDescent="0.35">
      <c r="A88" s="97" t="s">
        <v>69</v>
      </c>
      <c r="B88" s="27" t="s">
        <v>552</v>
      </c>
      <c r="C88" s="26" t="s">
        <v>654</v>
      </c>
      <c r="D88" s="26">
        <v>1420</v>
      </c>
      <c r="E88" s="150">
        <v>14.2</v>
      </c>
    </row>
    <row r="89" spans="1:5" x14ac:dyDescent="0.35">
      <c r="A89" s="97">
        <v>4</v>
      </c>
      <c r="B89" s="43" t="s">
        <v>523</v>
      </c>
      <c r="C89" s="97"/>
      <c r="D89" s="97"/>
      <c r="E89" s="151">
        <f>E90</f>
        <v>120</v>
      </c>
    </row>
    <row r="90" spans="1:5" ht="31" x14ac:dyDescent="0.35">
      <c r="A90" s="97" t="s">
        <v>69</v>
      </c>
      <c r="B90" s="27" t="s">
        <v>558</v>
      </c>
      <c r="C90" s="26" t="s">
        <v>654</v>
      </c>
      <c r="D90" s="101">
        <v>200</v>
      </c>
      <c r="E90" s="150">
        <v>120</v>
      </c>
    </row>
    <row r="91" spans="1:5" x14ac:dyDescent="0.35">
      <c r="A91" s="97">
        <v>5</v>
      </c>
      <c r="B91" s="43" t="s">
        <v>322</v>
      </c>
      <c r="C91" s="97"/>
      <c r="D91" s="101"/>
      <c r="E91" s="151">
        <f>E92</f>
        <v>78.75</v>
      </c>
    </row>
    <row r="92" spans="1:5" x14ac:dyDescent="0.35">
      <c r="A92" s="97" t="s">
        <v>69</v>
      </c>
      <c r="B92" s="27" t="s">
        <v>553</v>
      </c>
      <c r="C92" s="26" t="s">
        <v>654</v>
      </c>
      <c r="D92" s="101">
        <v>5250</v>
      </c>
      <c r="E92" s="150">
        <v>78.75</v>
      </c>
    </row>
    <row r="93" spans="1:5" x14ac:dyDescent="0.35">
      <c r="A93" s="97">
        <v>6</v>
      </c>
      <c r="B93" s="43" t="s">
        <v>45</v>
      </c>
      <c r="C93" s="97"/>
      <c r="D93" s="26"/>
      <c r="E93" s="151">
        <f>SUM(E94:E97)</f>
        <v>87</v>
      </c>
    </row>
    <row r="94" spans="1:5" x14ac:dyDescent="0.35">
      <c r="A94" s="97" t="s">
        <v>69</v>
      </c>
      <c r="B94" s="351" t="s">
        <v>554</v>
      </c>
      <c r="C94" s="26" t="s">
        <v>683</v>
      </c>
      <c r="D94" s="26">
        <v>1</v>
      </c>
      <c r="E94" s="150">
        <v>25</v>
      </c>
    </row>
    <row r="95" spans="1:5" x14ac:dyDescent="0.35">
      <c r="A95" s="97" t="s">
        <v>69</v>
      </c>
      <c r="B95" s="351" t="s">
        <v>555</v>
      </c>
      <c r="C95" s="26" t="s">
        <v>808</v>
      </c>
      <c r="D95" s="26">
        <f>50*10</f>
        <v>500</v>
      </c>
      <c r="E95" s="150">
        <v>35</v>
      </c>
    </row>
    <row r="96" spans="1:5" x14ac:dyDescent="0.35">
      <c r="A96" s="97" t="s">
        <v>69</v>
      </c>
      <c r="B96" s="351" t="s">
        <v>90</v>
      </c>
      <c r="C96" s="26" t="s">
        <v>796</v>
      </c>
      <c r="D96" s="26">
        <v>1</v>
      </c>
      <c r="E96" s="150">
        <v>15</v>
      </c>
    </row>
    <row r="97" spans="1:5" x14ac:dyDescent="0.35">
      <c r="A97" s="97" t="s">
        <v>69</v>
      </c>
      <c r="B97" s="351" t="s">
        <v>556</v>
      </c>
      <c r="C97" s="26" t="s">
        <v>735</v>
      </c>
      <c r="D97" s="26">
        <v>70</v>
      </c>
      <c r="E97" s="150">
        <v>12</v>
      </c>
    </row>
    <row r="98" spans="1:5" x14ac:dyDescent="0.35">
      <c r="A98" s="97">
        <v>7</v>
      </c>
      <c r="B98" s="43" t="s">
        <v>66</v>
      </c>
      <c r="C98" s="97"/>
      <c r="D98" s="353"/>
      <c r="E98" s="370">
        <f>E99</f>
        <v>45</v>
      </c>
    </row>
    <row r="99" spans="1:5" x14ac:dyDescent="0.35">
      <c r="A99" s="97" t="s">
        <v>69</v>
      </c>
      <c r="B99" s="27" t="s">
        <v>557</v>
      </c>
      <c r="C99" s="26" t="s">
        <v>791</v>
      </c>
      <c r="D99" s="26">
        <v>15</v>
      </c>
      <c r="E99" s="150">
        <v>45</v>
      </c>
    </row>
    <row r="100" spans="1:5" x14ac:dyDescent="0.35">
      <c r="A100" s="371" t="s">
        <v>44</v>
      </c>
      <c r="B100" s="372" t="s">
        <v>280</v>
      </c>
      <c r="C100" s="371"/>
      <c r="D100" s="372"/>
      <c r="E100" s="373">
        <f>E101+E107+E110+E112+E115+E118+E120</f>
        <v>1301.5</v>
      </c>
    </row>
    <row r="101" spans="1:5" x14ac:dyDescent="0.35">
      <c r="A101" s="86">
        <v>1</v>
      </c>
      <c r="B101" s="38" t="s">
        <v>13</v>
      </c>
      <c r="C101" s="103"/>
      <c r="D101" s="103"/>
      <c r="E101" s="375">
        <f>E102+E103</f>
        <v>947</v>
      </c>
    </row>
    <row r="102" spans="1:5" x14ac:dyDescent="0.35">
      <c r="A102" s="37" t="s">
        <v>69</v>
      </c>
      <c r="B102" s="32" t="s">
        <v>532</v>
      </c>
      <c r="C102" s="105" t="s">
        <v>767</v>
      </c>
      <c r="D102" s="105">
        <v>8</v>
      </c>
      <c r="E102" s="32">
        <v>260</v>
      </c>
    </row>
    <row r="103" spans="1:5" x14ac:dyDescent="0.35">
      <c r="A103" s="37" t="s">
        <v>69</v>
      </c>
      <c r="B103" s="32" t="s">
        <v>21</v>
      </c>
      <c r="C103" s="105"/>
      <c r="D103" s="377"/>
      <c r="E103" s="32">
        <f>SUM(E104:E106)</f>
        <v>687</v>
      </c>
    </row>
    <row r="104" spans="1:5" x14ac:dyDescent="0.35">
      <c r="A104" s="31"/>
      <c r="B104" s="50" t="s">
        <v>23</v>
      </c>
      <c r="C104" s="106" t="s">
        <v>767</v>
      </c>
      <c r="D104" s="105">
        <v>13</v>
      </c>
      <c r="E104" s="32">
        <v>615</v>
      </c>
    </row>
    <row r="105" spans="1:5" x14ac:dyDescent="0.35">
      <c r="A105" s="31"/>
      <c r="B105" s="50" t="s">
        <v>24</v>
      </c>
      <c r="C105" s="106" t="s">
        <v>767</v>
      </c>
      <c r="D105" s="105">
        <v>6</v>
      </c>
      <c r="E105" s="32">
        <v>30</v>
      </c>
    </row>
    <row r="106" spans="1:5" x14ac:dyDescent="0.35">
      <c r="A106" s="31"/>
      <c r="B106" s="50" t="s">
        <v>25</v>
      </c>
      <c r="C106" s="106" t="s">
        <v>767</v>
      </c>
      <c r="D106" s="105">
        <v>10</v>
      </c>
      <c r="E106" s="32">
        <v>42</v>
      </c>
    </row>
    <row r="107" spans="1:5" x14ac:dyDescent="0.35">
      <c r="A107" s="86">
        <v>2</v>
      </c>
      <c r="B107" s="51" t="s">
        <v>14</v>
      </c>
      <c r="C107" s="103"/>
      <c r="D107" s="103"/>
      <c r="E107" s="51">
        <f>E108+E109</f>
        <v>72</v>
      </c>
    </row>
    <row r="108" spans="1:5" x14ac:dyDescent="0.35">
      <c r="A108" s="31" t="s">
        <v>69</v>
      </c>
      <c r="B108" s="32" t="s">
        <v>521</v>
      </c>
      <c r="C108" s="105" t="s">
        <v>735</v>
      </c>
      <c r="D108" s="105">
        <v>1500</v>
      </c>
      <c r="E108" s="32">
        <v>45</v>
      </c>
    </row>
    <row r="109" spans="1:5" x14ac:dyDescent="0.35">
      <c r="A109" s="86" t="s">
        <v>69</v>
      </c>
      <c r="B109" s="32" t="s">
        <v>559</v>
      </c>
      <c r="C109" s="105" t="s">
        <v>790</v>
      </c>
      <c r="D109" s="105">
        <v>9</v>
      </c>
      <c r="E109" s="374">
        <v>27</v>
      </c>
    </row>
    <row r="110" spans="1:5" x14ac:dyDescent="0.35">
      <c r="A110" s="86">
        <v>3</v>
      </c>
      <c r="B110" s="51" t="s">
        <v>32</v>
      </c>
      <c r="C110" s="103"/>
      <c r="D110" s="103"/>
      <c r="E110" s="376">
        <f>E111</f>
        <v>38.15</v>
      </c>
    </row>
    <row r="111" spans="1:5" x14ac:dyDescent="0.35">
      <c r="A111" s="86" t="s">
        <v>69</v>
      </c>
      <c r="B111" s="32" t="s">
        <v>359</v>
      </c>
      <c r="C111" s="105" t="s">
        <v>654</v>
      </c>
      <c r="D111" s="378">
        <v>2725</v>
      </c>
      <c r="E111" s="374">
        <v>38.15</v>
      </c>
    </row>
    <row r="112" spans="1:5" x14ac:dyDescent="0.35">
      <c r="A112" s="86">
        <v>4</v>
      </c>
      <c r="B112" s="51" t="s">
        <v>560</v>
      </c>
      <c r="C112" s="103"/>
      <c r="D112" s="103"/>
      <c r="E112" s="376">
        <f>SUM(E113:E114)</f>
        <v>117.5</v>
      </c>
    </row>
    <row r="113" spans="1:5" x14ac:dyDescent="0.35">
      <c r="A113" s="86" t="s">
        <v>69</v>
      </c>
      <c r="B113" s="32" t="s">
        <v>562</v>
      </c>
      <c r="C113" s="105" t="s">
        <v>654</v>
      </c>
      <c r="D113" s="379">
        <v>250</v>
      </c>
      <c r="E113" s="374">
        <v>12.5</v>
      </c>
    </row>
    <row r="114" spans="1:5" x14ac:dyDescent="0.35">
      <c r="A114" s="45" t="s">
        <v>69</v>
      </c>
      <c r="B114" s="32" t="s">
        <v>563</v>
      </c>
      <c r="C114" s="105" t="s">
        <v>654</v>
      </c>
      <c r="D114" s="377">
        <v>300</v>
      </c>
      <c r="E114" s="374">
        <v>105</v>
      </c>
    </row>
    <row r="115" spans="1:5" x14ac:dyDescent="0.35">
      <c r="A115" s="86">
        <v>5</v>
      </c>
      <c r="B115" s="51" t="s">
        <v>45</v>
      </c>
      <c r="C115" s="103"/>
      <c r="D115" s="105"/>
      <c r="E115" s="376">
        <f>SUM(E116:E117)</f>
        <v>22.5</v>
      </c>
    </row>
    <row r="116" spans="1:5" x14ac:dyDescent="0.35">
      <c r="A116" s="45" t="s">
        <v>69</v>
      </c>
      <c r="B116" s="32" t="s">
        <v>536</v>
      </c>
      <c r="C116" s="105" t="s">
        <v>654</v>
      </c>
      <c r="D116" s="105">
        <v>50</v>
      </c>
      <c r="E116" s="374">
        <v>2.5</v>
      </c>
    </row>
    <row r="117" spans="1:5" x14ac:dyDescent="0.35">
      <c r="A117" s="45" t="s">
        <v>69</v>
      </c>
      <c r="B117" s="32" t="s">
        <v>541</v>
      </c>
      <c r="C117" s="105" t="s">
        <v>683</v>
      </c>
      <c r="D117" s="105">
        <v>10</v>
      </c>
      <c r="E117" s="374">
        <v>20</v>
      </c>
    </row>
    <row r="118" spans="1:5" x14ac:dyDescent="0.35">
      <c r="A118" s="86">
        <v>6</v>
      </c>
      <c r="B118" s="51" t="s">
        <v>322</v>
      </c>
      <c r="C118" s="103"/>
      <c r="D118" s="105"/>
      <c r="E118" s="376">
        <f>E119</f>
        <v>64.349999999999994</v>
      </c>
    </row>
    <row r="119" spans="1:5" x14ac:dyDescent="0.35">
      <c r="A119" s="86" t="s">
        <v>69</v>
      </c>
      <c r="B119" s="32" t="s">
        <v>848</v>
      </c>
      <c r="C119" s="105" t="s">
        <v>654</v>
      </c>
      <c r="D119" s="377">
        <v>4290</v>
      </c>
      <c r="E119" s="374">
        <v>64.349999999999994</v>
      </c>
    </row>
    <row r="120" spans="1:5" x14ac:dyDescent="0.35">
      <c r="A120" s="86">
        <v>7</v>
      </c>
      <c r="B120" s="51" t="s">
        <v>66</v>
      </c>
      <c r="C120" s="103"/>
      <c r="D120" s="380"/>
      <c r="E120" s="376">
        <f>E121</f>
        <v>40</v>
      </c>
    </row>
    <row r="121" spans="1:5" x14ac:dyDescent="0.35">
      <c r="A121" s="86" t="s">
        <v>69</v>
      </c>
      <c r="B121" s="32" t="s">
        <v>561</v>
      </c>
      <c r="C121" s="105" t="s">
        <v>791</v>
      </c>
      <c r="D121" s="105">
        <v>20</v>
      </c>
      <c r="E121" s="374">
        <v>40</v>
      </c>
    </row>
    <row r="122" spans="1:5" x14ac:dyDescent="0.35">
      <c r="A122" s="308" t="s">
        <v>60</v>
      </c>
      <c r="B122" s="368" t="s">
        <v>568</v>
      </c>
      <c r="C122" s="308"/>
      <c r="D122" s="368"/>
      <c r="E122" s="369">
        <f>E123+E129+E133+E136+E139+E144+E146</f>
        <v>1188.165</v>
      </c>
    </row>
    <row r="123" spans="1:5" x14ac:dyDescent="0.35">
      <c r="A123" s="39">
        <v>1</v>
      </c>
      <c r="B123" s="382" t="s">
        <v>13</v>
      </c>
      <c r="C123" s="39"/>
      <c r="D123" s="200"/>
      <c r="E123" s="383">
        <f>E124+E125</f>
        <v>630</v>
      </c>
    </row>
    <row r="124" spans="1:5" x14ac:dyDescent="0.35">
      <c r="A124" s="80" t="s">
        <v>69</v>
      </c>
      <c r="B124" s="32" t="s">
        <v>532</v>
      </c>
      <c r="C124" s="33" t="s">
        <v>767</v>
      </c>
      <c r="D124" s="31">
        <v>3</v>
      </c>
      <c r="E124" s="122">
        <v>30</v>
      </c>
    </row>
    <row r="125" spans="1:5" x14ac:dyDescent="0.35">
      <c r="A125" s="80" t="s">
        <v>69</v>
      </c>
      <c r="B125" s="34" t="s">
        <v>21</v>
      </c>
      <c r="C125" s="33"/>
      <c r="D125" s="31"/>
      <c r="E125" s="122">
        <f>SUM(E126:E128)</f>
        <v>600</v>
      </c>
    </row>
    <row r="126" spans="1:5" x14ac:dyDescent="0.35">
      <c r="A126" s="33"/>
      <c r="B126" s="91" t="s">
        <v>23</v>
      </c>
      <c r="C126" s="90" t="s">
        <v>767</v>
      </c>
      <c r="D126" s="31">
        <v>9</v>
      </c>
      <c r="E126" s="122">
        <v>450</v>
      </c>
    </row>
    <row r="127" spans="1:5" x14ac:dyDescent="0.35">
      <c r="A127" s="33"/>
      <c r="B127" s="91" t="s">
        <v>24</v>
      </c>
      <c r="C127" s="90" t="s">
        <v>767</v>
      </c>
      <c r="D127" s="31">
        <v>8</v>
      </c>
      <c r="E127" s="122">
        <v>40</v>
      </c>
    </row>
    <row r="128" spans="1:5" x14ac:dyDescent="0.35">
      <c r="A128" s="33"/>
      <c r="B128" s="91" t="s">
        <v>25</v>
      </c>
      <c r="C128" s="90" t="s">
        <v>767</v>
      </c>
      <c r="D128" s="31">
        <v>11</v>
      </c>
      <c r="E128" s="122">
        <v>110</v>
      </c>
    </row>
    <row r="129" spans="1:5" x14ac:dyDescent="0.35">
      <c r="A129" s="33">
        <v>2</v>
      </c>
      <c r="B129" s="79" t="s">
        <v>14</v>
      </c>
      <c r="C129" s="75"/>
      <c r="D129" s="31"/>
      <c r="E129" s="123">
        <f>SUM(E130:E132)</f>
        <v>44.5</v>
      </c>
    </row>
    <row r="130" spans="1:5" x14ac:dyDescent="0.35">
      <c r="A130" s="75" t="s">
        <v>69</v>
      </c>
      <c r="B130" s="34" t="s">
        <v>521</v>
      </c>
      <c r="C130" s="33" t="s">
        <v>735</v>
      </c>
      <c r="D130" s="31">
        <v>900</v>
      </c>
      <c r="E130" s="122">
        <v>27</v>
      </c>
    </row>
    <row r="131" spans="1:5" x14ac:dyDescent="0.35">
      <c r="A131" s="33" t="s">
        <v>69</v>
      </c>
      <c r="B131" s="34" t="s">
        <v>313</v>
      </c>
      <c r="C131" s="33" t="s">
        <v>790</v>
      </c>
      <c r="D131" s="31">
        <v>9</v>
      </c>
      <c r="E131" s="122">
        <v>13.5</v>
      </c>
    </row>
    <row r="132" spans="1:5" x14ac:dyDescent="0.35">
      <c r="A132" s="75" t="s">
        <v>69</v>
      </c>
      <c r="B132" s="34" t="s">
        <v>507</v>
      </c>
      <c r="C132" s="33" t="s">
        <v>790</v>
      </c>
      <c r="D132" s="200">
        <v>2</v>
      </c>
      <c r="E132" s="384">
        <v>4</v>
      </c>
    </row>
    <row r="133" spans="1:5" x14ac:dyDescent="0.35">
      <c r="A133" s="75">
        <v>3</v>
      </c>
      <c r="B133" s="79" t="s">
        <v>518</v>
      </c>
      <c r="C133" s="75"/>
      <c r="D133" s="200"/>
      <c r="E133" s="385">
        <f>SUM(E134:E135)</f>
        <v>33.765000000000001</v>
      </c>
    </row>
    <row r="134" spans="1:5" x14ac:dyDescent="0.35">
      <c r="A134" s="31" t="s">
        <v>69</v>
      </c>
      <c r="B134" s="32" t="s">
        <v>522</v>
      </c>
      <c r="C134" s="31" t="s">
        <v>739</v>
      </c>
      <c r="D134" s="200">
        <v>390</v>
      </c>
      <c r="E134" s="386">
        <v>13.65</v>
      </c>
    </row>
    <row r="135" spans="1:5" x14ac:dyDescent="0.35">
      <c r="A135" s="33" t="s">
        <v>69</v>
      </c>
      <c r="B135" s="34" t="s">
        <v>359</v>
      </c>
      <c r="C135" s="33" t="s">
        <v>654</v>
      </c>
      <c r="D135" s="200">
        <v>1341</v>
      </c>
      <c r="E135" s="386">
        <v>20.114999999999998</v>
      </c>
    </row>
    <row r="136" spans="1:5" x14ac:dyDescent="0.35">
      <c r="A136" s="86">
        <v>4</v>
      </c>
      <c r="B136" s="51" t="s">
        <v>560</v>
      </c>
      <c r="C136" s="86"/>
      <c r="D136" s="381"/>
      <c r="E136" s="383">
        <f>SUM(E137:E138)</f>
        <v>190.5</v>
      </c>
    </row>
    <row r="137" spans="1:5" x14ac:dyDescent="0.35">
      <c r="A137" s="75" t="s">
        <v>69</v>
      </c>
      <c r="B137" s="34" t="s">
        <v>849</v>
      </c>
      <c r="C137" s="33" t="s">
        <v>654</v>
      </c>
      <c r="D137" s="200">
        <v>250</v>
      </c>
      <c r="E137" s="384">
        <v>180</v>
      </c>
    </row>
    <row r="138" spans="1:5" x14ac:dyDescent="0.35">
      <c r="A138" s="75" t="s">
        <v>69</v>
      </c>
      <c r="B138" s="34" t="s">
        <v>524</v>
      </c>
      <c r="C138" s="33" t="s">
        <v>654</v>
      </c>
      <c r="D138" s="200">
        <v>150</v>
      </c>
      <c r="E138" s="384">
        <v>10.5</v>
      </c>
    </row>
    <row r="139" spans="1:5" x14ac:dyDescent="0.35">
      <c r="A139" s="356">
        <v>5</v>
      </c>
      <c r="B139" s="79" t="s">
        <v>45</v>
      </c>
      <c r="C139" s="75"/>
      <c r="D139" s="381"/>
      <c r="E139" s="383">
        <f>SUM(E140:E143)</f>
        <v>170</v>
      </c>
    </row>
    <row r="140" spans="1:5" x14ac:dyDescent="0.35">
      <c r="A140" s="356" t="s">
        <v>69</v>
      </c>
      <c r="B140" s="34" t="s">
        <v>564</v>
      </c>
      <c r="C140" s="33" t="s">
        <v>683</v>
      </c>
      <c r="D140" s="200">
        <v>5</v>
      </c>
      <c r="E140" s="384">
        <v>20</v>
      </c>
    </row>
    <row r="141" spans="1:5" x14ac:dyDescent="0.35">
      <c r="A141" s="356" t="s">
        <v>69</v>
      </c>
      <c r="B141" s="34" t="s">
        <v>565</v>
      </c>
      <c r="C141" s="33" t="s">
        <v>683</v>
      </c>
      <c r="D141" s="200">
        <v>5</v>
      </c>
      <c r="E141" s="384">
        <v>10</v>
      </c>
    </row>
    <row r="142" spans="1:5" x14ac:dyDescent="0.35">
      <c r="A142" s="31" t="s">
        <v>69</v>
      </c>
      <c r="B142" s="32" t="s">
        <v>566</v>
      </c>
      <c r="C142" s="31" t="s">
        <v>803</v>
      </c>
      <c r="D142" s="200">
        <v>5</v>
      </c>
      <c r="E142" s="384">
        <v>15</v>
      </c>
    </row>
    <row r="143" spans="1:5" x14ac:dyDescent="0.35">
      <c r="A143" s="31" t="s">
        <v>69</v>
      </c>
      <c r="B143" s="32" t="s">
        <v>567</v>
      </c>
      <c r="C143" s="31" t="s">
        <v>808</v>
      </c>
      <c r="D143" s="200">
        <v>2500</v>
      </c>
      <c r="E143" s="384">
        <v>125</v>
      </c>
    </row>
    <row r="144" spans="1:5" x14ac:dyDescent="0.35">
      <c r="A144" s="75">
        <v>6</v>
      </c>
      <c r="B144" s="79" t="s">
        <v>322</v>
      </c>
      <c r="C144" s="75"/>
      <c r="D144" s="381"/>
      <c r="E144" s="383">
        <f>E145</f>
        <v>49.4</v>
      </c>
    </row>
    <row r="145" spans="1:5" x14ac:dyDescent="0.35">
      <c r="A145" s="33"/>
      <c r="B145" s="34" t="s">
        <v>850</v>
      </c>
      <c r="C145" s="33" t="s">
        <v>654</v>
      </c>
      <c r="D145" s="200">
        <v>2470</v>
      </c>
      <c r="E145" s="384">
        <v>49.4</v>
      </c>
    </row>
    <row r="146" spans="1:5" x14ac:dyDescent="0.35">
      <c r="A146" s="350">
        <v>7</v>
      </c>
      <c r="B146" s="348" t="s">
        <v>66</v>
      </c>
      <c r="C146" s="346"/>
      <c r="D146" s="381"/>
      <c r="E146" s="383">
        <f>E147</f>
        <v>70</v>
      </c>
    </row>
    <row r="147" spans="1:5" x14ac:dyDescent="0.35">
      <c r="A147" s="31" t="s">
        <v>69</v>
      </c>
      <c r="B147" s="32" t="s">
        <v>530</v>
      </c>
      <c r="C147" s="31" t="s">
        <v>791</v>
      </c>
      <c r="D147" s="200">
        <v>35</v>
      </c>
      <c r="E147" s="384">
        <v>70</v>
      </c>
    </row>
  </sheetData>
  <mergeCells count="6">
    <mergeCell ref="C3:C4"/>
    <mergeCell ref="A1:E1"/>
    <mergeCell ref="A3:A4"/>
    <mergeCell ref="B3:B4"/>
    <mergeCell ref="D3:D4"/>
    <mergeCell ref="E3:E4"/>
  </mergeCells>
  <pageMargins left="0.7" right="0.2" top="0.75" bottom="0.3"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1"/>
  <sheetViews>
    <sheetView topLeftCell="A32" workbookViewId="0">
      <selection activeCell="E48" sqref="E48"/>
    </sheetView>
  </sheetViews>
  <sheetFormatPr defaultRowHeight="15.5" x14ac:dyDescent="0.35"/>
  <cols>
    <col min="1" max="1" width="4.7265625" style="2" customWidth="1"/>
    <col min="2" max="2" width="43" style="5" customWidth="1"/>
    <col min="3" max="3" width="15.7265625" style="2" customWidth="1"/>
    <col min="4" max="4" width="14.453125" style="5" customWidth="1"/>
    <col min="5" max="5" width="14.453125" style="7" customWidth="1"/>
  </cols>
  <sheetData>
    <row r="1" spans="1:5" ht="35.25" customHeight="1" x14ac:dyDescent="0.35">
      <c r="A1" s="593" t="s">
        <v>815</v>
      </c>
      <c r="B1" s="593"/>
      <c r="C1" s="593"/>
      <c r="D1" s="593"/>
      <c r="E1" s="593"/>
    </row>
    <row r="2" spans="1:5" x14ac:dyDescent="0.35">
      <c r="A2" s="217"/>
      <c r="B2" s="218"/>
      <c r="C2" s="217"/>
      <c r="D2" s="594" t="s">
        <v>6</v>
      </c>
      <c r="E2" s="594"/>
    </row>
    <row r="3" spans="1:5" ht="15.75" customHeight="1" x14ac:dyDescent="0.35">
      <c r="A3" s="580" t="s">
        <v>0</v>
      </c>
      <c r="B3" s="580" t="s">
        <v>1</v>
      </c>
      <c r="C3" s="598" t="s">
        <v>645</v>
      </c>
      <c r="D3" s="580" t="s">
        <v>12</v>
      </c>
      <c r="E3" s="603" t="s">
        <v>9</v>
      </c>
    </row>
    <row r="4" spans="1:5" ht="15.75" customHeight="1" x14ac:dyDescent="0.35">
      <c r="A4" s="580"/>
      <c r="B4" s="580"/>
      <c r="C4" s="599"/>
      <c r="D4" s="580"/>
      <c r="E4" s="603"/>
    </row>
    <row r="5" spans="1:5" ht="15" x14ac:dyDescent="0.35">
      <c r="A5" s="74" t="s">
        <v>16</v>
      </c>
      <c r="B5" s="38" t="s">
        <v>350</v>
      </c>
      <c r="C5" s="86"/>
      <c r="D5" s="74"/>
      <c r="E5" s="154">
        <f>E6</f>
        <v>958.30799999999999</v>
      </c>
    </row>
    <row r="6" spans="1:5" ht="15" x14ac:dyDescent="0.35">
      <c r="A6" s="68" t="s">
        <v>7</v>
      </c>
      <c r="B6" s="69" t="s">
        <v>351</v>
      </c>
      <c r="C6" s="68"/>
      <c r="D6" s="68"/>
      <c r="E6" s="196">
        <f>E7+E13+E23+E26+E32+E37+E40</f>
        <v>958.30799999999999</v>
      </c>
    </row>
    <row r="7" spans="1:5" ht="15" x14ac:dyDescent="0.35">
      <c r="A7" s="74">
        <v>1</v>
      </c>
      <c r="B7" s="38" t="s">
        <v>13</v>
      </c>
      <c r="C7" s="86"/>
      <c r="D7" s="74"/>
      <c r="E7" s="216">
        <f>SUM(E8:E9)</f>
        <v>228</v>
      </c>
    </row>
    <row r="8" spans="1:5" x14ac:dyDescent="0.35">
      <c r="A8" s="37" t="s">
        <v>69</v>
      </c>
      <c r="B8" s="32" t="s">
        <v>851</v>
      </c>
      <c r="C8" s="31" t="s">
        <v>767</v>
      </c>
      <c r="D8" s="31">
        <v>2</v>
      </c>
      <c r="E8" s="166">
        <v>40</v>
      </c>
    </row>
    <row r="9" spans="1:5" x14ac:dyDescent="0.35">
      <c r="A9" s="37" t="s">
        <v>69</v>
      </c>
      <c r="B9" s="32" t="s">
        <v>21</v>
      </c>
      <c r="C9" s="31"/>
      <c r="D9" s="31"/>
      <c r="E9" s="166">
        <f>E10+E11+E12</f>
        <v>188</v>
      </c>
    </row>
    <row r="10" spans="1:5" x14ac:dyDescent="0.35">
      <c r="A10" s="31"/>
      <c r="B10" s="50" t="s">
        <v>23</v>
      </c>
      <c r="C10" s="47" t="s">
        <v>767</v>
      </c>
      <c r="D10" s="31">
        <v>10</v>
      </c>
      <c r="E10" s="166">
        <v>100</v>
      </c>
    </row>
    <row r="11" spans="1:5" x14ac:dyDescent="0.35">
      <c r="A11" s="31"/>
      <c r="B11" s="50" t="s">
        <v>24</v>
      </c>
      <c r="C11" s="47" t="s">
        <v>767</v>
      </c>
      <c r="D11" s="31">
        <v>8</v>
      </c>
      <c r="E11" s="166">
        <v>40</v>
      </c>
    </row>
    <row r="12" spans="1:5" x14ac:dyDescent="0.35">
      <c r="A12" s="31"/>
      <c r="B12" s="50" t="s">
        <v>25</v>
      </c>
      <c r="C12" s="47" t="s">
        <v>767</v>
      </c>
      <c r="D12" s="31">
        <v>12</v>
      </c>
      <c r="E12" s="166">
        <v>48</v>
      </c>
    </row>
    <row r="13" spans="1:5" x14ac:dyDescent="0.35">
      <c r="A13" s="74">
        <v>2</v>
      </c>
      <c r="B13" s="51" t="s">
        <v>14</v>
      </c>
      <c r="C13" s="86"/>
      <c r="D13" s="31"/>
      <c r="E13" s="220">
        <f>E14+E17</f>
        <v>372.5</v>
      </c>
    </row>
    <row r="14" spans="1:5" x14ac:dyDescent="0.35">
      <c r="A14" s="45" t="s">
        <v>69</v>
      </c>
      <c r="B14" s="51" t="s">
        <v>194</v>
      </c>
      <c r="C14" s="86"/>
      <c r="D14" s="31"/>
      <c r="E14" s="166">
        <f>E15+E16</f>
        <v>114</v>
      </c>
    </row>
    <row r="15" spans="1:5" ht="31" x14ac:dyDescent="0.35">
      <c r="A15" s="31"/>
      <c r="B15" s="32" t="s">
        <v>352</v>
      </c>
      <c r="C15" s="31" t="s">
        <v>735</v>
      </c>
      <c r="D15" s="31">
        <v>1080</v>
      </c>
      <c r="E15" s="166">
        <v>54</v>
      </c>
    </row>
    <row r="16" spans="1:5" ht="18.75" customHeight="1" x14ac:dyDescent="0.35">
      <c r="A16" s="31"/>
      <c r="B16" s="32" t="s">
        <v>353</v>
      </c>
      <c r="C16" s="31" t="s">
        <v>717</v>
      </c>
      <c r="D16" s="31">
        <v>120</v>
      </c>
      <c r="E16" s="166">
        <v>60</v>
      </c>
    </row>
    <row r="17" spans="1:5" ht="22.5" customHeight="1" x14ac:dyDescent="0.35">
      <c r="A17" s="45" t="s">
        <v>69</v>
      </c>
      <c r="B17" s="51" t="s">
        <v>196</v>
      </c>
      <c r="C17" s="86"/>
      <c r="D17" s="31"/>
      <c r="E17" s="221">
        <f>SUM(E18:E22)</f>
        <v>258.5</v>
      </c>
    </row>
    <row r="18" spans="1:5" x14ac:dyDescent="0.35">
      <c r="A18" s="74"/>
      <c r="B18" s="32" t="s">
        <v>852</v>
      </c>
      <c r="C18" s="31" t="s">
        <v>790</v>
      </c>
      <c r="D18" s="31">
        <v>30</v>
      </c>
      <c r="E18" s="166">
        <v>165</v>
      </c>
    </row>
    <row r="19" spans="1:5" x14ac:dyDescent="0.35">
      <c r="A19" s="74"/>
      <c r="B19" s="32" t="s">
        <v>354</v>
      </c>
      <c r="C19" s="31" t="s">
        <v>790</v>
      </c>
      <c r="D19" s="31">
        <v>4</v>
      </c>
      <c r="E19" s="166">
        <v>4</v>
      </c>
    </row>
    <row r="20" spans="1:5" x14ac:dyDescent="0.35">
      <c r="A20" s="74"/>
      <c r="B20" s="32" t="s">
        <v>355</v>
      </c>
      <c r="C20" s="31" t="s">
        <v>790</v>
      </c>
      <c r="D20" s="74">
        <v>8</v>
      </c>
      <c r="E20" s="216">
        <v>12</v>
      </c>
    </row>
    <row r="21" spans="1:5" x14ac:dyDescent="0.35">
      <c r="A21" s="74"/>
      <c r="B21" s="32" t="s">
        <v>356</v>
      </c>
      <c r="C21" s="31" t="s">
        <v>791</v>
      </c>
      <c r="D21" s="31">
        <v>17</v>
      </c>
      <c r="E21" s="166">
        <f>17*2</f>
        <v>34</v>
      </c>
    </row>
    <row r="22" spans="1:5" x14ac:dyDescent="0.35">
      <c r="A22" s="74"/>
      <c r="B22" s="32" t="s">
        <v>357</v>
      </c>
      <c r="C22" s="31" t="s">
        <v>791</v>
      </c>
      <c r="D22" s="74">
        <v>25</v>
      </c>
      <c r="E22" s="221">
        <v>43.5</v>
      </c>
    </row>
    <row r="23" spans="1:5" x14ac:dyDescent="0.35">
      <c r="A23" s="74">
        <v>3</v>
      </c>
      <c r="B23" s="51" t="s">
        <v>32</v>
      </c>
      <c r="C23" s="86"/>
      <c r="D23" s="31"/>
      <c r="E23" s="222">
        <f>E24+E25</f>
        <v>107.77000000000001</v>
      </c>
    </row>
    <row r="24" spans="1:5" ht="25.5" customHeight="1" x14ac:dyDescent="0.35">
      <c r="A24" s="31"/>
      <c r="B24" s="32" t="s">
        <v>358</v>
      </c>
      <c r="C24" s="31" t="s">
        <v>739</v>
      </c>
      <c r="D24" s="31">
        <v>1200</v>
      </c>
      <c r="E24" s="166">
        <v>54</v>
      </c>
    </row>
    <row r="25" spans="1:5" ht="25.5" customHeight="1" x14ac:dyDescent="0.35">
      <c r="A25" s="31"/>
      <c r="B25" s="32" t="s">
        <v>359</v>
      </c>
      <c r="C25" s="31" t="s">
        <v>654</v>
      </c>
      <c r="D25" s="31">
        <v>4481</v>
      </c>
      <c r="E25" s="222">
        <v>53.77</v>
      </c>
    </row>
    <row r="26" spans="1:5" x14ac:dyDescent="0.35">
      <c r="A26" s="74">
        <v>4</v>
      </c>
      <c r="B26" s="51" t="s">
        <v>11</v>
      </c>
      <c r="C26" s="86"/>
      <c r="D26" s="31"/>
      <c r="E26" s="223">
        <f>E27+E30</f>
        <v>34.57</v>
      </c>
    </row>
    <row r="27" spans="1:5" ht="23.25" customHeight="1" x14ac:dyDescent="0.35">
      <c r="A27" s="45" t="s">
        <v>69</v>
      </c>
      <c r="B27" s="51" t="s">
        <v>226</v>
      </c>
      <c r="C27" s="86"/>
      <c r="D27" s="31"/>
      <c r="E27" s="222">
        <f>SUM(E28:E29)</f>
        <v>29.17</v>
      </c>
    </row>
    <row r="28" spans="1:5" x14ac:dyDescent="0.35">
      <c r="A28" s="74"/>
      <c r="B28" s="32" t="s">
        <v>344</v>
      </c>
      <c r="C28" s="31" t="s">
        <v>654</v>
      </c>
      <c r="D28" s="31">
        <v>1581</v>
      </c>
      <c r="E28" s="222">
        <v>23.17</v>
      </c>
    </row>
    <row r="29" spans="1:5" x14ac:dyDescent="0.35">
      <c r="A29" s="74"/>
      <c r="B29" s="32" t="s">
        <v>360</v>
      </c>
      <c r="C29" s="31" t="s">
        <v>808</v>
      </c>
      <c r="D29" s="31">
        <v>120</v>
      </c>
      <c r="E29" s="216">
        <v>6</v>
      </c>
    </row>
    <row r="30" spans="1:5" x14ac:dyDescent="0.35">
      <c r="A30" s="45" t="s">
        <v>69</v>
      </c>
      <c r="B30" s="51" t="s">
        <v>299</v>
      </c>
      <c r="C30" s="86"/>
      <c r="D30" s="31"/>
      <c r="E30" s="220">
        <f>SUM(E31:E31)</f>
        <v>5.4</v>
      </c>
    </row>
    <row r="31" spans="1:5" ht="24.75" customHeight="1" x14ac:dyDescent="0.35">
      <c r="A31" s="74"/>
      <c r="B31" s="32" t="s">
        <v>361</v>
      </c>
      <c r="C31" s="31" t="s">
        <v>808</v>
      </c>
      <c r="D31" s="31">
        <v>90</v>
      </c>
      <c r="E31" s="220">
        <v>5.4</v>
      </c>
    </row>
    <row r="32" spans="1:5" ht="21" customHeight="1" x14ac:dyDescent="0.35">
      <c r="A32" s="74">
        <v>5</v>
      </c>
      <c r="B32" s="51" t="s">
        <v>45</v>
      </c>
      <c r="C32" s="86"/>
      <c r="D32" s="31"/>
      <c r="E32" s="166">
        <f>E33</f>
        <v>58.9</v>
      </c>
    </row>
    <row r="33" spans="1:5" ht="21" customHeight="1" x14ac:dyDescent="0.35">
      <c r="A33" s="45" t="s">
        <v>69</v>
      </c>
      <c r="B33" s="51" t="s">
        <v>46</v>
      </c>
      <c r="C33" s="86"/>
      <c r="D33" s="31"/>
      <c r="E33" s="166">
        <f>SUM(E34:E36)</f>
        <v>58.9</v>
      </c>
    </row>
    <row r="34" spans="1:5" ht="17.25" customHeight="1" x14ac:dyDescent="0.35">
      <c r="A34" s="31"/>
      <c r="B34" s="32" t="s">
        <v>362</v>
      </c>
      <c r="C34" s="31" t="s">
        <v>806</v>
      </c>
      <c r="D34" s="74">
        <v>1</v>
      </c>
      <c r="E34" s="216">
        <v>40</v>
      </c>
    </row>
    <row r="35" spans="1:5" ht="17.25" customHeight="1" x14ac:dyDescent="0.35">
      <c r="A35" s="31"/>
      <c r="B35" s="32" t="s">
        <v>363</v>
      </c>
      <c r="C35" s="31" t="s">
        <v>683</v>
      </c>
      <c r="D35" s="31">
        <v>3</v>
      </c>
      <c r="E35" s="220">
        <v>3.9</v>
      </c>
    </row>
    <row r="36" spans="1:5" ht="17.25" customHeight="1" x14ac:dyDescent="0.35">
      <c r="A36" s="31"/>
      <c r="B36" s="32" t="s">
        <v>364</v>
      </c>
      <c r="C36" s="31" t="s">
        <v>683</v>
      </c>
      <c r="D36" s="31">
        <v>1</v>
      </c>
      <c r="E36" s="166">
        <v>15</v>
      </c>
    </row>
    <row r="37" spans="1:5" ht="22.5" customHeight="1" x14ac:dyDescent="0.35">
      <c r="A37" s="74">
        <v>6</v>
      </c>
      <c r="B37" s="51" t="s">
        <v>61</v>
      </c>
      <c r="C37" s="86"/>
      <c r="D37" s="198"/>
      <c r="E37" s="226">
        <f>SUM(E38:E39)</f>
        <v>145.9</v>
      </c>
    </row>
    <row r="38" spans="1:5" ht="22.5" customHeight="1" x14ac:dyDescent="0.35">
      <c r="A38" s="31"/>
      <c r="B38" s="32" t="s">
        <v>365</v>
      </c>
      <c r="C38" s="31" t="s">
        <v>654</v>
      </c>
      <c r="D38" s="200">
        <v>4033</v>
      </c>
      <c r="E38" s="224">
        <v>100.825</v>
      </c>
    </row>
    <row r="39" spans="1:5" ht="22.5" customHeight="1" x14ac:dyDescent="0.35">
      <c r="A39" s="31"/>
      <c r="B39" s="32" t="s">
        <v>366</v>
      </c>
      <c r="C39" s="31" t="s">
        <v>654</v>
      </c>
      <c r="D39" s="200">
        <v>1803</v>
      </c>
      <c r="E39" s="224">
        <v>45.075000000000003</v>
      </c>
    </row>
    <row r="40" spans="1:5" ht="22.5" customHeight="1" x14ac:dyDescent="0.35">
      <c r="A40" s="74">
        <v>7</v>
      </c>
      <c r="B40" s="51" t="s">
        <v>66</v>
      </c>
      <c r="C40" s="86"/>
      <c r="D40" s="200"/>
      <c r="E40" s="225">
        <f>SUM(E41:E41)</f>
        <v>10.667999999999999</v>
      </c>
    </row>
    <row r="41" spans="1:5" ht="22.5" customHeight="1" x14ac:dyDescent="0.35">
      <c r="A41" s="31"/>
      <c r="B41" s="32" t="s">
        <v>367</v>
      </c>
      <c r="C41" s="31" t="s">
        <v>654</v>
      </c>
      <c r="D41" s="200">
        <v>889</v>
      </c>
      <c r="E41" s="201">
        <v>10.667999999999999</v>
      </c>
    </row>
  </sheetData>
  <mergeCells count="7">
    <mergeCell ref="A3:A4"/>
    <mergeCell ref="B3:B4"/>
    <mergeCell ref="D3:D4"/>
    <mergeCell ref="E3:E4"/>
    <mergeCell ref="A1:E1"/>
    <mergeCell ref="C3:C4"/>
    <mergeCell ref="D2:E2"/>
  </mergeCells>
  <pageMargins left="0.7" right="0.2" top="0.75" bottom="0.26"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44" workbookViewId="0">
      <selection activeCell="K55" sqref="K55"/>
    </sheetView>
  </sheetViews>
  <sheetFormatPr defaultColWidth="9.1796875" defaultRowHeight="15.5" x14ac:dyDescent="0.35"/>
  <cols>
    <col min="1" max="1" width="4.7265625" style="2" customWidth="1"/>
    <col min="2" max="2" width="37.1796875" style="5" customWidth="1"/>
    <col min="3" max="3" width="13.1796875" style="5" customWidth="1"/>
    <col min="4" max="4" width="10.1796875" style="5" customWidth="1"/>
    <col min="5" max="5" width="13.7265625" style="7" customWidth="1"/>
    <col min="6" max="6" width="0.26953125" style="7" hidden="1" customWidth="1"/>
    <col min="7" max="7" width="18.1796875" style="7" hidden="1" customWidth="1"/>
    <col min="8" max="8" width="10.26953125" style="7" hidden="1" customWidth="1"/>
    <col min="9" max="9" width="24.26953125" style="2" customWidth="1"/>
    <col min="10" max="16384" width="9.1796875" style="2"/>
  </cols>
  <sheetData>
    <row r="1" spans="1:9" ht="25" customHeight="1" x14ac:dyDescent="0.35">
      <c r="A1" s="605" t="s">
        <v>810</v>
      </c>
      <c r="B1" s="605"/>
      <c r="C1" s="605"/>
      <c r="D1" s="605"/>
      <c r="E1" s="605"/>
      <c r="F1" s="605"/>
      <c r="G1" s="605"/>
      <c r="H1" s="605"/>
      <c r="I1" s="605"/>
    </row>
    <row r="2" spans="1:9" ht="25" customHeight="1" x14ac:dyDescent="0.35">
      <c r="E2" s="527" t="s">
        <v>6</v>
      </c>
      <c r="F2" s="527"/>
      <c r="G2" s="527" t="s">
        <v>6</v>
      </c>
      <c r="H2" s="527"/>
    </row>
    <row r="3" spans="1:9" s="83" customFormat="1" ht="28" customHeight="1" x14ac:dyDescent="0.35">
      <c r="A3" s="574" t="s">
        <v>0</v>
      </c>
      <c r="B3" s="574" t="s">
        <v>1</v>
      </c>
      <c r="C3" s="575" t="s">
        <v>645</v>
      </c>
      <c r="D3" s="574" t="s">
        <v>12</v>
      </c>
      <c r="E3" s="577" t="s">
        <v>773</v>
      </c>
      <c r="F3" s="577" t="s">
        <v>2</v>
      </c>
      <c r="G3" s="577"/>
      <c r="H3" s="577" t="s">
        <v>5</v>
      </c>
      <c r="I3" s="606" t="s">
        <v>647</v>
      </c>
    </row>
    <row r="4" spans="1:9" s="83" customFormat="1" ht="27" customHeight="1" x14ac:dyDescent="0.35">
      <c r="A4" s="574"/>
      <c r="B4" s="574"/>
      <c r="C4" s="576"/>
      <c r="D4" s="574"/>
      <c r="E4" s="577"/>
      <c r="F4" s="85" t="s">
        <v>3</v>
      </c>
      <c r="G4" s="85" t="s">
        <v>4</v>
      </c>
      <c r="H4" s="577"/>
      <c r="I4" s="606"/>
    </row>
    <row r="5" spans="1:9" s="83" customFormat="1" ht="18.649999999999999" customHeight="1" x14ac:dyDescent="0.35">
      <c r="A5" s="11" t="s">
        <v>16</v>
      </c>
      <c r="B5" s="12" t="s">
        <v>774</v>
      </c>
      <c r="C5" s="12"/>
      <c r="D5" s="11"/>
      <c r="E5" s="14">
        <f>E6+E18+E31+E43</f>
        <v>739</v>
      </c>
      <c r="F5" s="14">
        <f t="shared" ref="F5:H5" si="0">F6+F18+F31+F43</f>
        <v>383</v>
      </c>
      <c r="G5" s="14">
        <f t="shared" si="0"/>
        <v>0</v>
      </c>
      <c r="H5" s="14">
        <f t="shared" si="0"/>
        <v>398</v>
      </c>
      <c r="I5" s="219"/>
    </row>
    <row r="6" spans="1:9" s="83" customFormat="1" ht="18.649999999999999" customHeight="1" x14ac:dyDescent="0.35">
      <c r="A6" s="15" t="s">
        <v>7</v>
      </c>
      <c r="B6" s="16" t="s">
        <v>243</v>
      </c>
      <c r="C6" s="16"/>
      <c r="D6" s="15"/>
      <c r="E6" s="471">
        <f>E7+E9+E11+E13+E16</f>
        <v>180</v>
      </c>
      <c r="F6" s="471">
        <f t="shared" ref="F6:H6" si="1">SUM(F7:F17)</f>
        <v>95</v>
      </c>
      <c r="G6" s="471">
        <f t="shared" si="1"/>
        <v>0</v>
      </c>
      <c r="H6" s="471">
        <f t="shared" si="1"/>
        <v>90</v>
      </c>
      <c r="I6" s="219"/>
    </row>
    <row r="7" spans="1:9" s="159" customFormat="1" ht="18.649999999999999" customHeight="1" x14ac:dyDescent="0.35">
      <c r="A7" s="84">
        <v>1</v>
      </c>
      <c r="B7" s="10" t="s">
        <v>13</v>
      </c>
      <c r="C7" s="84"/>
      <c r="D7" s="10"/>
      <c r="E7" s="85">
        <f>E8</f>
        <v>40</v>
      </c>
      <c r="F7" s="85"/>
      <c r="G7" s="85"/>
      <c r="H7" s="85"/>
      <c r="I7" s="84"/>
    </row>
    <row r="8" spans="1:9" s="159" customFormat="1" ht="18.649999999999999" customHeight="1" x14ac:dyDescent="0.35">
      <c r="A8" s="1" t="s">
        <v>69</v>
      </c>
      <c r="B8" s="6" t="s">
        <v>775</v>
      </c>
      <c r="C8" s="1" t="s">
        <v>649</v>
      </c>
      <c r="D8" s="1">
        <v>18</v>
      </c>
      <c r="E8" s="9">
        <v>40</v>
      </c>
      <c r="F8" s="85">
        <f>E8/2</f>
        <v>20</v>
      </c>
      <c r="G8" s="85">
        <v>0</v>
      </c>
      <c r="H8" s="85">
        <f>E8-F8</f>
        <v>20</v>
      </c>
      <c r="I8" s="84"/>
    </row>
    <row r="9" spans="1:9" s="159" customFormat="1" ht="18.649999999999999" customHeight="1" x14ac:dyDescent="0.35">
      <c r="A9" s="84">
        <v>2</v>
      </c>
      <c r="B9" s="10" t="s">
        <v>14</v>
      </c>
      <c r="C9" s="84"/>
      <c r="D9" s="84"/>
      <c r="E9" s="85">
        <f>E10</f>
        <v>40</v>
      </c>
      <c r="F9" s="85"/>
      <c r="G9" s="85"/>
      <c r="H9" s="85"/>
      <c r="I9" s="84"/>
    </row>
    <row r="10" spans="1:9" s="3" customFormat="1" ht="18.649999999999999" customHeight="1" x14ac:dyDescent="0.35">
      <c r="A10" s="1" t="s">
        <v>69</v>
      </c>
      <c r="B10" s="6" t="s">
        <v>313</v>
      </c>
      <c r="C10" s="1" t="s">
        <v>653</v>
      </c>
      <c r="D10" s="1">
        <v>20</v>
      </c>
      <c r="E10" s="9">
        <f>D10*2</f>
        <v>40</v>
      </c>
      <c r="F10" s="9">
        <f>E10/2</f>
        <v>20</v>
      </c>
      <c r="G10" s="9">
        <v>0</v>
      </c>
      <c r="H10" s="9">
        <f>E10-F10</f>
        <v>20</v>
      </c>
      <c r="I10" s="1"/>
    </row>
    <row r="11" spans="1:9" s="159" customFormat="1" ht="18.649999999999999" customHeight="1" x14ac:dyDescent="0.35">
      <c r="A11" s="84">
        <v>3</v>
      </c>
      <c r="B11" s="10" t="s">
        <v>32</v>
      </c>
      <c r="C11" s="84"/>
      <c r="D11" s="84"/>
      <c r="E11" s="85">
        <f>E12</f>
        <v>30</v>
      </c>
      <c r="F11" s="85"/>
      <c r="G11" s="85"/>
      <c r="H11" s="85"/>
      <c r="I11" s="84"/>
    </row>
    <row r="12" spans="1:9" s="3" customFormat="1" ht="18.649999999999999" customHeight="1" x14ac:dyDescent="0.35">
      <c r="A12" s="1" t="s">
        <v>69</v>
      </c>
      <c r="B12" s="6" t="s">
        <v>776</v>
      </c>
      <c r="C12" s="1" t="s">
        <v>758</v>
      </c>
      <c r="D12" s="1">
        <v>4</v>
      </c>
      <c r="E12" s="9">
        <v>30</v>
      </c>
      <c r="F12" s="9">
        <v>15</v>
      </c>
      <c r="G12" s="9">
        <v>0</v>
      </c>
      <c r="H12" s="9">
        <v>15</v>
      </c>
      <c r="I12" s="1"/>
    </row>
    <row r="13" spans="1:9" s="159" customFormat="1" ht="20.25" customHeight="1" x14ac:dyDescent="0.35">
      <c r="A13" s="84">
        <v>4</v>
      </c>
      <c r="B13" s="10" t="s">
        <v>777</v>
      </c>
      <c r="C13" s="84"/>
      <c r="D13" s="84"/>
      <c r="E13" s="85">
        <f>E14+E15</f>
        <v>45</v>
      </c>
      <c r="F13" s="85"/>
      <c r="G13" s="85"/>
      <c r="H13" s="85"/>
      <c r="I13" s="84"/>
    </row>
    <row r="14" spans="1:9" s="3" customFormat="1" ht="18.649999999999999" customHeight="1" x14ac:dyDescent="0.35">
      <c r="A14" s="1" t="s">
        <v>69</v>
      </c>
      <c r="B14" s="6" t="s">
        <v>778</v>
      </c>
      <c r="C14" s="1" t="s">
        <v>649</v>
      </c>
      <c r="D14" s="1">
        <v>1</v>
      </c>
      <c r="E14" s="9">
        <v>30</v>
      </c>
      <c r="F14" s="9">
        <v>15</v>
      </c>
      <c r="G14" s="9">
        <v>0</v>
      </c>
      <c r="H14" s="9">
        <v>15</v>
      </c>
      <c r="I14" s="1"/>
    </row>
    <row r="15" spans="1:9" s="3" customFormat="1" ht="18.649999999999999" customHeight="1" x14ac:dyDescent="0.35">
      <c r="A15" s="1" t="s">
        <v>69</v>
      </c>
      <c r="B15" s="6" t="s">
        <v>779</v>
      </c>
      <c r="C15" s="1" t="s">
        <v>670</v>
      </c>
      <c r="D15" s="1">
        <v>300</v>
      </c>
      <c r="E15" s="9">
        <v>15</v>
      </c>
      <c r="F15" s="9">
        <v>10</v>
      </c>
      <c r="G15" s="9">
        <v>0</v>
      </c>
      <c r="H15" s="9">
        <v>5</v>
      </c>
      <c r="I15" s="1"/>
    </row>
    <row r="16" spans="1:9" s="159" customFormat="1" ht="18.649999999999999" customHeight="1" x14ac:dyDescent="0.35">
      <c r="A16" s="84">
        <v>5</v>
      </c>
      <c r="B16" s="10" t="s">
        <v>66</v>
      </c>
      <c r="C16" s="84"/>
      <c r="D16" s="84"/>
      <c r="E16" s="85">
        <f>E17</f>
        <v>25</v>
      </c>
      <c r="F16" s="85"/>
      <c r="G16" s="85"/>
      <c r="H16" s="85"/>
      <c r="I16" s="84"/>
    </row>
    <row r="17" spans="1:9" s="3" customFormat="1" ht="18.649999999999999" customHeight="1" x14ac:dyDescent="0.35">
      <c r="A17" s="1" t="s">
        <v>69</v>
      </c>
      <c r="B17" s="6" t="s">
        <v>780</v>
      </c>
      <c r="C17" s="1" t="s">
        <v>781</v>
      </c>
      <c r="D17" s="1">
        <v>25</v>
      </c>
      <c r="E17" s="9">
        <v>25</v>
      </c>
      <c r="F17" s="9">
        <v>15</v>
      </c>
      <c r="G17" s="9">
        <v>0</v>
      </c>
      <c r="H17" s="9">
        <v>15</v>
      </c>
      <c r="I17" s="1"/>
    </row>
    <row r="18" spans="1:9" s="83" customFormat="1" ht="18.649999999999999" customHeight="1" x14ac:dyDescent="0.35">
      <c r="A18" s="15" t="s">
        <v>8</v>
      </c>
      <c r="B18" s="16" t="s">
        <v>246</v>
      </c>
      <c r="C18" s="15"/>
      <c r="D18" s="15"/>
      <c r="E18" s="471">
        <f>E19+E21+E23+E25+E29</f>
        <v>203</v>
      </c>
      <c r="F18" s="471">
        <f t="shared" ref="F18:H18" si="2">SUM(F20:F30)</f>
        <v>100.5</v>
      </c>
      <c r="G18" s="471">
        <f t="shared" si="2"/>
        <v>0</v>
      </c>
      <c r="H18" s="471">
        <f t="shared" si="2"/>
        <v>110.5</v>
      </c>
      <c r="I18" s="219"/>
    </row>
    <row r="19" spans="1:9" s="159" customFormat="1" ht="18.649999999999999" customHeight="1" x14ac:dyDescent="0.35">
      <c r="A19" s="84">
        <v>1</v>
      </c>
      <c r="B19" s="10" t="s">
        <v>13</v>
      </c>
      <c r="C19" s="84"/>
      <c r="D19" s="84"/>
      <c r="E19" s="85">
        <f>E20</f>
        <v>35</v>
      </c>
      <c r="F19" s="85"/>
      <c r="G19" s="85"/>
      <c r="H19" s="85"/>
      <c r="I19" s="84"/>
    </row>
    <row r="20" spans="1:9" s="159" customFormat="1" ht="18.649999999999999" customHeight="1" x14ac:dyDescent="0.35">
      <c r="A20" s="1" t="s">
        <v>69</v>
      </c>
      <c r="B20" s="6" t="s">
        <v>775</v>
      </c>
      <c r="C20" s="1" t="s">
        <v>649</v>
      </c>
      <c r="D20" s="1">
        <v>12</v>
      </c>
      <c r="E20" s="9">
        <v>35</v>
      </c>
      <c r="F20" s="85">
        <f>E20/2</f>
        <v>17.5</v>
      </c>
      <c r="G20" s="85">
        <v>0</v>
      </c>
      <c r="H20" s="85">
        <f>E20-F20</f>
        <v>17.5</v>
      </c>
      <c r="I20" s="84"/>
    </row>
    <row r="21" spans="1:9" s="159" customFormat="1" ht="18.649999999999999" customHeight="1" x14ac:dyDescent="0.35">
      <c r="A21" s="84">
        <v>2</v>
      </c>
      <c r="B21" s="10" t="s">
        <v>14</v>
      </c>
      <c r="C21" s="84"/>
      <c r="D21" s="84"/>
      <c r="E21" s="85">
        <f>E22</f>
        <v>36</v>
      </c>
      <c r="F21" s="85"/>
      <c r="G21" s="85"/>
      <c r="H21" s="85"/>
      <c r="I21" s="84"/>
    </row>
    <row r="22" spans="1:9" s="3" customFormat="1" ht="18.649999999999999" customHeight="1" x14ac:dyDescent="0.35">
      <c r="A22" s="1" t="s">
        <v>69</v>
      </c>
      <c r="B22" s="6" t="s">
        <v>313</v>
      </c>
      <c r="C22" s="1" t="s">
        <v>653</v>
      </c>
      <c r="D22" s="1">
        <v>18</v>
      </c>
      <c r="E22" s="9">
        <f>D22*2</f>
        <v>36</v>
      </c>
      <c r="F22" s="9">
        <f>E22/2</f>
        <v>18</v>
      </c>
      <c r="G22" s="9">
        <v>0</v>
      </c>
      <c r="H22" s="9">
        <f>E22-F22</f>
        <v>18</v>
      </c>
      <c r="I22" s="1"/>
    </row>
    <row r="23" spans="1:9" s="159" customFormat="1" ht="18.649999999999999" customHeight="1" x14ac:dyDescent="0.35">
      <c r="A23" s="84">
        <v>3</v>
      </c>
      <c r="B23" s="10" t="s">
        <v>32</v>
      </c>
      <c r="C23" s="84"/>
      <c r="D23" s="84"/>
      <c r="E23" s="85">
        <f>E24</f>
        <v>30</v>
      </c>
      <c r="F23" s="85"/>
      <c r="G23" s="85"/>
      <c r="H23" s="85"/>
      <c r="I23" s="84"/>
    </row>
    <row r="24" spans="1:9" s="3" customFormat="1" ht="18.649999999999999" customHeight="1" x14ac:dyDescent="0.35">
      <c r="A24" s="1" t="s">
        <v>69</v>
      </c>
      <c r="B24" s="6" t="s">
        <v>776</v>
      </c>
      <c r="C24" s="1" t="s">
        <v>758</v>
      </c>
      <c r="D24" s="1">
        <v>4</v>
      </c>
      <c r="E24" s="9">
        <v>30</v>
      </c>
      <c r="F24" s="9">
        <v>15</v>
      </c>
      <c r="G24" s="9">
        <v>0</v>
      </c>
      <c r="H24" s="9">
        <v>15</v>
      </c>
      <c r="I24" s="1"/>
    </row>
    <row r="25" spans="1:9" s="159" customFormat="1" ht="22.5" customHeight="1" x14ac:dyDescent="0.35">
      <c r="A25" s="84">
        <v>4</v>
      </c>
      <c r="B25" s="10" t="s">
        <v>777</v>
      </c>
      <c r="C25" s="84"/>
      <c r="D25" s="84"/>
      <c r="E25" s="85">
        <f>E26+E27+E28</f>
        <v>75</v>
      </c>
      <c r="F25" s="85"/>
      <c r="G25" s="85"/>
      <c r="H25" s="85"/>
      <c r="I25" s="84"/>
    </row>
    <row r="26" spans="1:9" s="3" customFormat="1" ht="47.25" customHeight="1" x14ac:dyDescent="0.35">
      <c r="A26" s="1" t="s">
        <v>69</v>
      </c>
      <c r="B26" s="6" t="s">
        <v>782</v>
      </c>
      <c r="C26" s="1" t="s">
        <v>660</v>
      </c>
      <c r="D26" s="1" t="s">
        <v>783</v>
      </c>
      <c r="E26" s="9">
        <v>30</v>
      </c>
      <c r="F26" s="9">
        <v>10</v>
      </c>
      <c r="G26" s="9">
        <v>0</v>
      </c>
      <c r="H26" s="9">
        <v>20</v>
      </c>
      <c r="I26" s="1"/>
    </row>
    <row r="27" spans="1:9" s="3" customFormat="1" ht="18.649999999999999" customHeight="1" x14ac:dyDescent="0.35">
      <c r="A27" s="1" t="s">
        <v>69</v>
      </c>
      <c r="B27" s="6" t="s">
        <v>778</v>
      </c>
      <c r="C27" s="1" t="s">
        <v>649</v>
      </c>
      <c r="D27" s="1">
        <v>1</v>
      </c>
      <c r="E27" s="9">
        <v>30</v>
      </c>
      <c r="F27" s="9">
        <v>15</v>
      </c>
      <c r="G27" s="9">
        <v>0</v>
      </c>
      <c r="H27" s="9">
        <v>15</v>
      </c>
      <c r="I27" s="1"/>
    </row>
    <row r="28" spans="1:9" s="3" customFormat="1" ht="18.649999999999999" customHeight="1" x14ac:dyDescent="0.35">
      <c r="A28" s="1" t="s">
        <v>69</v>
      </c>
      <c r="B28" s="6" t="s">
        <v>784</v>
      </c>
      <c r="C28" s="1" t="s">
        <v>670</v>
      </c>
      <c r="D28" s="1">
        <v>100</v>
      </c>
      <c r="E28" s="9">
        <v>15</v>
      </c>
      <c r="F28" s="9">
        <v>10</v>
      </c>
      <c r="G28" s="9">
        <v>0</v>
      </c>
      <c r="H28" s="9">
        <v>5</v>
      </c>
      <c r="I28" s="1"/>
    </row>
    <row r="29" spans="1:9" s="159" customFormat="1" ht="18.649999999999999" customHeight="1" x14ac:dyDescent="0.35">
      <c r="A29" s="84">
        <v>5</v>
      </c>
      <c r="B29" s="10" t="s">
        <v>66</v>
      </c>
      <c r="C29" s="84"/>
      <c r="D29" s="84"/>
      <c r="E29" s="85">
        <f>E30</f>
        <v>27</v>
      </c>
      <c r="F29" s="85"/>
      <c r="G29" s="85"/>
      <c r="H29" s="85"/>
      <c r="I29" s="84"/>
    </row>
    <row r="30" spans="1:9" s="3" customFormat="1" ht="18.649999999999999" customHeight="1" x14ac:dyDescent="0.35">
      <c r="A30" s="1"/>
      <c r="B30" s="6" t="s">
        <v>780</v>
      </c>
      <c r="C30" s="1" t="s">
        <v>781</v>
      </c>
      <c r="D30" s="1">
        <v>27</v>
      </c>
      <c r="E30" s="9">
        <v>27</v>
      </c>
      <c r="F30" s="9">
        <v>15</v>
      </c>
      <c r="G30" s="9">
        <v>0</v>
      </c>
      <c r="H30" s="9">
        <v>20</v>
      </c>
      <c r="I30" s="1"/>
    </row>
    <row r="31" spans="1:9" s="83" customFormat="1" ht="18.649999999999999" customHeight="1" x14ac:dyDescent="0.35">
      <c r="A31" s="15" t="s">
        <v>31</v>
      </c>
      <c r="B31" s="16" t="s">
        <v>251</v>
      </c>
      <c r="C31" s="15"/>
      <c r="D31" s="15"/>
      <c r="E31" s="471">
        <f>E32+E34+E36+E38+E41</f>
        <v>219</v>
      </c>
      <c r="F31" s="471">
        <f t="shared" ref="F31:H31" si="3">SUM(F33:F42)</f>
        <v>110</v>
      </c>
      <c r="G31" s="471">
        <f t="shared" si="3"/>
        <v>0</v>
      </c>
      <c r="H31" s="471">
        <f t="shared" si="3"/>
        <v>120</v>
      </c>
      <c r="I31" s="219"/>
    </row>
    <row r="32" spans="1:9" s="159" customFormat="1" ht="18.649999999999999" customHeight="1" x14ac:dyDescent="0.35">
      <c r="A32" s="84">
        <v>1</v>
      </c>
      <c r="B32" s="10" t="s">
        <v>13</v>
      </c>
      <c r="C32" s="84"/>
      <c r="D32" s="84"/>
      <c r="E32" s="85">
        <f>E33</f>
        <v>60</v>
      </c>
      <c r="F32" s="85"/>
      <c r="G32" s="85"/>
      <c r="H32" s="85"/>
      <c r="I32" s="84"/>
    </row>
    <row r="33" spans="1:9" s="159" customFormat="1" ht="18.649999999999999" customHeight="1" x14ac:dyDescent="0.35">
      <c r="A33" s="1" t="s">
        <v>69</v>
      </c>
      <c r="B33" s="6" t="s">
        <v>775</v>
      </c>
      <c r="C33" s="1" t="s">
        <v>649</v>
      </c>
      <c r="D33" s="1">
        <v>28</v>
      </c>
      <c r="E33" s="9">
        <v>60</v>
      </c>
      <c r="F33" s="9">
        <f>E33/2</f>
        <v>30</v>
      </c>
      <c r="G33" s="9">
        <v>0</v>
      </c>
      <c r="H33" s="9">
        <f>E33-F33</f>
        <v>30</v>
      </c>
      <c r="I33" s="84"/>
    </row>
    <row r="34" spans="1:9" s="159" customFormat="1" ht="18.649999999999999" customHeight="1" x14ac:dyDescent="0.35">
      <c r="A34" s="84">
        <v>2</v>
      </c>
      <c r="B34" s="10" t="s">
        <v>14</v>
      </c>
      <c r="C34" s="84"/>
      <c r="D34" s="84"/>
      <c r="E34" s="85">
        <f>E35</f>
        <v>50</v>
      </c>
      <c r="F34" s="85"/>
      <c r="G34" s="85"/>
      <c r="H34" s="85"/>
      <c r="I34" s="84"/>
    </row>
    <row r="35" spans="1:9" s="3" customFormat="1" ht="18.649999999999999" customHeight="1" x14ac:dyDescent="0.35">
      <c r="A35" s="1" t="s">
        <v>69</v>
      </c>
      <c r="B35" s="6" t="s">
        <v>313</v>
      </c>
      <c r="C35" s="1" t="s">
        <v>653</v>
      </c>
      <c r="D35" s="1">
        <v>25</v>
      </c>
      <c r="E35" s="9">
        <f>D35*2</f>
        <v>50</v>
      </c>
      <c r="F35" s="9">
        <f>E35/2</f>
        <v>25</v>
      </c>
      <c r="G35" s="9">
        <v>0</v>
      </c>
      <c r="H35" s="9">
        <f>E35-F35</f>
        <v>25</v>
      </c>
      <c r="I35" s="1"/>
    </row>
    <row r="36" spans="1:9" s="159" customFormat="1" ht="18.649999999999999" customHeight="1" x14ac:dyDescent="0.35">
      <c r="A36" s="84">
        <v>3</v>
      </c>
      <c r="B36" s="10" t="s">
        <v>32</v>
      </c>
      <c r="C36" s="84"/>
      <c r="D36" s="84"/>
      <c r="E36" s="85">
        <f>E37</f>
        <v>30</v>
      </c>
      <c r="F36" s="85"/>
      <c r="G36" s="85"/>
      <c r="H36" s="85"/>
      <c r="I36" s="84"/>
    </row>
    <row r="37" spans="1:9" s="3" customFormat="1" ht="18.649999999999999" customHeight="1" x14ac:dyDescent="0.35">
      <c r="A37" s="1" t="s">
        <v>69</v>
      </c>
      <c r="B37" s="6" t="s">
        <v>776</v>
      </c>
      <c r="C37" s="1" t="s">
        <v>758</v>
      </c>
      <c r="D37" s="1">
        <v>4</v>
      </c>
      <c r="E37" s="9">
        <v>30</v>
      </c>
      <c r="F37" s="9">
        <v>15</v>
      </c>
      <c r="G37" s="9">
        <v>0</v>
      </c>
      <c r="H37" s="9">
        <v>15</v>
      </c>
      <c r="I37" s="1"/>
    </row>
    <row r="38" spans="1:9" s="159" customFormat="1" ht="21" customHeight="1" x14ac:dyDescent="0.35">
      <c r="A38" s="84">
        <v>4</v>
      </c>
      <c r="B38" s="10" t="s">
        <v>777</v>
      </c>
      <c r="C38" s="84"/>
      <c r="D38" s="84"/>
      <c r="E38" s="85">
        <f>E39+E40</f>
        <v>60</v>
      </c>
      <c r="F38" s="85"/>
      <c r="G38" s="85"/>
      <c r="H38" s="85"/>
      <c r="I38" s="84"/>
    </row>
    <row r="39" spans="1:9" s="159" customFormat="1" ht="52.5" customHeight="1" x14ac:dyDescent="0.35">
      <c r="A39" s="84" t="s">
        <v>69</v>
      </c>
      <c r="B39" s="6" t="s">
        <v>782</v>
      </c>
      <c r="C39" s="1" t="s">
        <v>660</v>
      </c>
      <c r="D39" s="1" t="s">
        <v>785</v>
      </c>
      <c r="E39" s="9">
        <v>30</v>
      </c>
      <c r="F39" s="9">
        <v>10</v>
      </c>
      <c r="G39" s="9">
        <v>0</v>
      </c>
      <c r="H39" s="9">
        <v>20</v>
      </c>
      <c r="I39" s="84"/>
    </row>
    <row r="40" spans="1:9" s="3" customFormat="1" ht="18.649999999999999" customHeight="1" x14ac:dyDescent="0.35">
      <c r="A40" s="1" t="s">
        <v>69</v>
      </c>
      <c r="B40" s="6" t="s">
        <v>778</v>
      </c>
      <c r="C40" s="1" t="s">
        <v>649</v>
      </c>
      <c r="D40" s="1">
        <v>1</v>
      </c>
      <c r="E40" s="9">
        <v>30</v>
      </c>
      <c r="F40" s="9">
        <v>15</v>
      </c>
      <c r="G40" s="9">
        <v>0</v>
      </c>
      <c r="H40" s="9">
        <v>15</v>
      </c>
      <c r="I40" s="1"/>
    </row>
    <row r="41" spans="1:9" s="159" customFormat="1" ht="18.649999999999999" customHeight="1" x14ac:dyDescent="0.35">
      <c r="A41" s="84">
        <v>5</v>
      </c>
      <c r="B41" s="10" t="s">
        <v>66</v>
      </c>
      <c r="C41" s="84"/>
      <c r="D41" s="84"/>
      <c r="E41" s="85">
        <f>E42</f>
        <v>19</v>
      </c>
      <c r="F41" s="85"/>
      <c r="G41" s="85"/>
      <c r="H41" s="85"/>
      <c r="I41" s="84"/>
    </row>
    <row r="42" spans="1:9" s="3" customFormat="1" ht="18.649999999999999" customHeight="1" x14ac:dyDescent="0.35">
      <c r="A42" s="1" t="s">
        <v>69</v>
      </c>
      <c r="B42" s="6" t="s">
        <v>780</v>
      </c>
      <c r="C42" s="1" t="s">
        <v>781</v>
      </c>
      <c r="D42" s="1">
        <v>19</v>
      </c>
      <c r="E42" s="9">
        <v>19</v>
      </c>
      <c r="F42" s="9">
        <v>15</v>
      </c>
      <c r="G42" s="9">
        <v>0</v>
      </c>
      <c r="H42" s="9">
        <v>15</v>
      </c>
      <c r="I42" s="1"/>
    </row>
    <row r="43" spans="1:9" s="83" customFormat="1" ht="18.649999999999999" customHeight="1" x14ac:dyDescent="0.35">
      <c r="A43" s="15" t="s">
        <v>35</v>
      </c>
      <c r="B43" s="16" t="s">
        <v>342</v>
      </c>
      <c r="C43" s="15"/>
      <c r="D43" s="15"/>
      <c r="E43" s="471">
        <f>E44+E46+E48+E50+E53</f>
        <v>137</v>
      </c>
      <c r="F43" s="471">
        <f t="shared" ref="F43:H43" si="4">SUM(F44:F54)</f>
        <v>77.5</v>
      </c>
      <c r="G43" s="471">
        <f t="shared" si="4"/>
        <v>0</v>
      </c>
      <c r="H43" s="471">
        <f t="shared" si="4"/>
        <v>77.5</v>
      </c>
      <c r="I43" s="219"/>
    </row>
    <row r="44" spans="1:9" s="159" customFormat="1" ht="18.649999999999999" customHeight="1" x14ac:dyDescent="0.35">
      <c r="A44" s="84">
        <v>1</v>
      </c>
      <c r="B44" s="10" t="s">
        <v>13</v>
      </c>
      <c r="C44" s="84"/>
      <c r="D44" s="84"/>
      <c r="E44" s="85">
        <f>E45</f>
        <v>45</v>
      </c>
      <c r="F44" s="85"/>
      <c r="G44" s="85"/>
      <c r="H44" s="85"/>
      <c r="I44" s="84"/>
    </row>
    <row r="45" spans="1:9" s="159" customFormat="1" ht="18.649999999999999" customHeight="1" x14ac:dyDescent="0.35">
      <c r="A45" s="1" t="s">
        <v>69</v>
      </c>
      <c r="B45" s="6" t="s">
        <v>778</v>
      </c>
      <c r="C45" s="1" t="s">
        <v>649</v>
      </c>
      <c r="D45" s="1">
        <v>19</v>
      </c>
      <c r="E45" s="9">
        <v>45</v>
      </c>
      <c r="F45" s="85">
        <f>E45/2</f>
        <v>22.5</v>
      </c>
      <c r="G45" s="85">
        <v>0</v>
      </c>
      <c r="H45" s="85">
        <f>E45-F45</f>
        <v>22.5</v>
      </c>
      <c r="I45" s="84"/>
    </row>
    <row r="46" spans="1:9" s="159" customFormat="1" ht="18.649999999999999" customHeight="1" x14ac:dyDescent="0.35">
      <c r="A46" s="84">
        <v>2</v>
      </c>
      <c r="B46" s="10" t="s">
        <v>14</v>
      </c>
      <c r="C46" s="84"/>
      <c r="D46" s="84"/>
      <c r="E46" s="85">
        <f>E47</f>
        <v>30</v>
      </c>
      <c r="F46" s="85"/>
      <c r="G46" s="85"/>
      <c r="H46" s="85"/>
      <c r="I46" s="84"/>
    </row>
    <row r="47" spans="1:9" s="3" customFormat="1" ht="18.649999999999999" customHeight="1" x14ac:dyDescent="0.35">
      <c r="A47" s="1" t="s">
        <v>69</v>
      </c>
      <c r="B47" s="6" t="s">
        <v>313</v>
      </c>
      <c r="C47" s="1" t="s">
        <v>653</v>
      </c>
      <c r="D47" s="1">
        <v>15</v>
      </c>
      <c r="E47" s="9">
        <f>D47*2</f>
        <v>30</v>
      </c>
      <c r="F47" s="9">
        <f>E47/2</f>
        <v>15</v>
      </c>
      <c r="G47" s="9">
        <v>0</v>
      </c>
      <c r="H47" s="9">
        <f>E47-F47</f>
        <v>15</v>
      </c>
      <c r="I47" s="1"/>
    </row>
    <row r="48" spans="1:9" s="159" customFormat="1" ht="18.649999999999999" customHeight="1" x14ac:dyDescent="0.35">
      <c r="A48" s="84">
        <v>3</v>
      </c>
      <c r="B48" s="10" t="s">
        <v>32</v>
      </c>
      <c r="C48" s="84"/>
      <c r="D48" s="84"/>
      <c r="E48" s="85">
        <f>E49</f>
        <v>20</v>
      </c>
      <c r="F48" s="85"/>
      <c r="G48" s="85"/>
      <c r="H48" s="85"/>
      <c r="I48" s="84"/>
    </row>
    <row r="49" spans="1:9" s="3" customFormat="1" ht="18.649999999999999" customHeight="1" x14ac:dyDescent="0.35">
      <c r="A49" s="1" t="s">
        <v>69</v>
      </c>
      <c r="B49" s="6" t="s">
        <v>776</v>
      </c>
      <c r="C49" s="1" t="s">
        <v>758</v>
      </c>
      <c r="D49" s="1">
        <v>3</v>
      </c>
      <c r="E49" s="9">
        <v>20</v>
      </c>
      <c r="F49" s="9">
        <v>10</v>
      </c>
      <c r="G49" s="9">
        <v>0</v>
      </c>
      <c r="H49" s="9">
        <v>10</v>
      </c>
      <c r="I49" s="1"/>
    </row>
    <row r="50" spans="1:9" s="159" customFormat="1" ht="22.5" customHeight="1" x14ac:dyDescent="0.35">
      <c r="A50" s="84">
        <v>4</v>
      </c>
      <c r="B50" s="10" t="s">
        <v>777</v>
      </c>
      <c r="C50" s="84"/>
      <c r="D50" s="84"/>
      <c r="E50" s="85">
        <f>E51+E52</f>
        <v>30</v>
      </c>
      <c r="F50" s="85"/>
      <c r="G50" s="85"/>
      <c r="H50" s="85"/>
      <c r="I50" s="84"/>
    </row>
    <row r="51" spans="1:9" s="3" customFormat="1" ht="18.649999999999999" customHeight="1" x14ac:dyDescent="0.35">
      <c r="A51" s="1" t="s">
        <v>69</v>
      </c>
      <c r="B51" s="6" t="s">
        <v>786</v>
      </c>
      <c r="C51" s="1" t="s">
        <v>649</v>
      </c>
      <c r="D51" s="1">
        <v>1</v>
      </c>
      <c r="E51" s="9">
        <v>20</v>
      </c>
      <c r="F51" s="9">
        <v>10</v>
      </c>
      <c r="G51" s="9">
        <v>0</v>
      </c>
      <c r="H51" s="9">
        <v>10</v>
      </c>
      <c r="I51" s="1"/>
    </row>
    <row r="52" spans="1:9" s="3" customFormat="1" ht="18.649999999999999" customHeight="1" x14ac:dyDescent="0.35">
      <c r="A52" s="1" t="s">
        <v>69</v>
      </c>
      <c r="B52" s="6" t="s">
        <v>787</v>
      </c>
      <c r="C52" s="1" t="s">
        <v>788</v>
      </c>
      <c r="D52" s="1">
        <v>1</v>
      </c>
      <c r="E52" s="9">
        <v>10</v>
      </c>
      <c r="F52" s="9">
        <v>5</v>
      </c>
      <c r="G52" s="9">
        <v>0</v>
      </c>
      <c r="H52" s="9">
        <v>5</v>
      </c>
      <c r="I52" s="1"/>
    </row>
    <row r="53" spans="1:9" s="159" customFormat="1" ht="18.649999999999999" customHeight="1" x14ac:dyDescent="0.35">
      <c r="A53" s="84">
        <v>5</v>
      </c>
      <c r="B53" s="10" t="s">
        <v>66</v>
      </c>
      <c r="C53" s="84"/>
      <c r="D53" s="84"/>
      <c r="E53" s="85">
        <f>E54</f>
        <v>12</v>
      </c>
      <c r="F53" s="85"/>
      <c r="G53" s="85"/>
      <c r="H53" s="85"/>
      <c r="I53" s="84"/>
    </row>
    <row r="54" spans="1:9" s="3" customFormat="1" ht="18.649999999999999" customHeight="1" x14ac:dyDescent="0.35">
      <c r="A54" s="1"/>
      <c r="B54" s="6" t="s">
        <v>780</v>
      </c>
      <c r="C54" s="1" t="s">
        <v>781</v>
      </c>
      <c r="D54" s="1">
        <v>12</v>
      </c>
      <c r="E54" s="9">
        <v>12</v>
      </c>
      <c r="F54" s="9">
        <v>15</v>
      </c>
      <c r="G54" s="9">
        <v>0</v>
      </c>
      <c r="H54" s="9">
        <v>15</v>
      </c>
      <c r="I54" s="1"/>
    </row>
    <row r="55" spans="1:9" ht="44.15" customHeight="1" x14ac:dyDescent="0.35">
      <c r="A55" s="604"/>
      <c r="B55" s="604"/>
      <c r="C55" s="604"/>
      <c r="D55" s="604"/>
      <c r="E55" s="604"/>
      <c r="F55" s="604"/>
      <c r="G55" s="604"/>
      <c r="H55" s="604"/>
    </row>
  </sheetData>
  <mergeCells count="10">
    <mergeCell ref="A55:H55"/>
    <mergeCell ref="A1:I1"/>
    <mergeCell ref="A3:A4"/>
    <mergeCell ref="B3:B4"/>
    <mergeCell ref="C3:C4"/>
    <mergeCell ref="D3:D4"/>
    <mergeCell ref="E3:E4"/>
    <mergeCell ref="F3:G3"/>
    <mergeCell ref="H3:H4"/>
    <mergeCell ref="I3:I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15"/>
  <sheetViews>
    <sheetView zoomScale="110" zoomScaleNormal="110" workbookViewId="0">
      <pane ySplit="4" topLeftCell="A62" activePane="bottomLeft" state="frozen"/>
      <selection pane="bottomLeft" activeCell="B71" sqref="B71"/>
    </sheetView>
  </sheetViews>
  <sheetFormatPr defaultColWidth="9.1796875" defaultRowHeight="25" customHeight="1" x14ac:dyDescent="0.35"/>
  <cols>
    <col min="1" max="1" width="6.1796875" style="46" customWidth="1"/>
    <col min="2" max="2" width="43.81640625" style="5" customWidth="1"/>
    <col min="3" max="3" width="13.453125" style="2" customWidth="1"/>
    <col min="4" max="4" width="14" style="5" customWidth="1"/>
    <col min="5" max="5" width="18.81640625" style="5" customWidth="1"/>
    <col min="6" max="16384" width="9.1796875" style="2"/>
  </cols>
  <sheetData>
    <row r="1" spans="1:5" ht="26.25" customHeight="1" x14ac:dyDescent="0.35">
      <c r="A1" s="579" t="s">
        <v>301</v>
      </c>
      <c r="B1" s="579"/>
      <c r="C1" s="579"/>
      <c r="D1" s="579"/>
      <c r="E1" s="579"/>
    </row>
    <row r="2" spans="1:5" ht="15" customHeight="1" x14ac:dyDescent="0.35">
      <c r="D2" s="578" t="s">
        <v>6</v>
      </c>
      <c r="E2" s="578"/>
    </row>
    <row r="3" spans="1:5" s="538" customFormat="1" ht="16.5" customHeight="1" x14ac:dyDescent="0.35">
      <c r="A3" s="580" t="s">
        <v>0</v>
      </c>
      <c r="B3" s="574" t="s">
        <v>1</v>
      </c>
      <c r="C3" s="575" t="s">
        <v>645</v>
      </c>
      <c r="D3" s="575" t="s">
        <v>12</v>
      </c>
      <c r="E3" s="574" t="s">
        <v>242</v>
      </c>
    </row>
    <row r="4" spans="1:5" s="538" customFormat="1" ht="12.75" customHeight="1" x14ac:dyDescent="0.35">
      <c r="A4" s="580"/>
      <c r="B4" s="574"/>
      <c r="C4" s="576"/>
      <c r="D4" s="576"/>
      <c r="E4" s="574"/>
    </row>
    <row r="5" spans="1:5" s="538" customFormat="1" ht="18.649999999999999" customHeight="1" x14ac:dyDescent="0.35">
      <c r="A5" s="534" t="s">
        <v>16</v>
      </c>
      <c r="B5" s="12" t="s">
        <v>17</v>
      </c>
      <c r="C5" s="13"/>
      <c r="D5" s="13"/>
      <c r="E5" s="478">
        <f>E6+E45+E83+E135+E186+E235+E288+E337+E389+E428+E475</f>
        <v>44943.215000000004</v>
      </c>
    </row>
    <row r="6" spans="1:5" s="538" customFormat="1" ht="18.649999999999999" customHeight="1" x14ac:dyDescent="0.35">
      <c r="A6" s="534" t="s">
        <v>7</v>
      </c>
      <c r="B6" s="16" t="s">
        <v>18</v>
      </c>
      <c r="C6" s="17"/>
      <c r="D6" s="17"/>
      <c r="E6" s="479">
        <f>E7+E14+E22+E20+E31+E40+E43</f>
        <v>4333.0750000000007</v>
      </c>
    </row>
    <row r="7" spans="1:5" s="537" customFormat="1" ht="18.649999999999999" customHeight="1" x14ac:dyDescent="0.35">
      <c r="A7" s="534">
        <v>1</v>
      </c>
      <c r="B7" s="10" t="s">
        <v>13</v>
      </c>
      <c r="C7" s="532"/>
      <c r="D7" s="10"/>
      <c r="E7" s="114">
        <f>E8+E9+E10</f>
        <v>1743</v>
      </c>
    </row>
    <row r="8" spans="1:5" s="537" customFormat="1" ht="29.25" customHeight="1" x14ac:dyDescent="0.35">
      <c r="A8" s="37" t="s">
        <v>69</v>
      </c>
      <c r="B8" s="18" t="s">
        <v>19</v>
      </c>
      <c r="C8" s="1" t="s">
        <v>649</v>
      </c>
      <c r="D8" s="1">
        <v>7</v>
      </c>
      <c r="E8" s="115">
        <v>700</v>
      </c>
    </row>
    <row r="9" spans="1:5" s="537" customFormat="1" ht="21" customHeight="1" x14ac:dyDescent="0.35">
      <c r="A9" s="37" t="s">
        <v>69</v>
      </c>
      <c r="B9" s="18" t="s">
        <v>20</v>
      </c>
      <c r="C9" s="1" t="s">
        <v>649</v>
      </c>
      <c r="D9" s="1">
        <v>6</v>
      </c>
      <c r="E9" s="115">
        <v>180</v>
      </c>
    </row>
    <row r="10" spans="1:5" s="537" customFormat="1" ht="18.649999999999999" customHeight="1" x14ac:dyDescent="0.35">
      <c r="A10" s="37" t="s">
        <v>69</v>
      </c>
      <c r="B10" s="18" t="s">
        <v>21</v>
      </c>
      <c r="C10" s="1"/>
      <c r="D10" s="1"/>
      <c r="E10" s="115">
        <f>SUM(E11:E13)</f>
        <v>863</v>
      </c>
    </row>
    <row r="11" spans="1:5" s="537" customFormat="1" ht="18.649999999999999" customHeight="1" x14ac:dyDescent="0.35">
      <c r="A11" s="47"/>
      <c r="B11" s="30" t="s">
        <v>23</v>
      </c>
      <c r="C11" s="1" t="s">
        <v>649</v>
      </c>
      <c r="D11" s="29">
        <v>36</v>
      </c>
      <c r="E11" s="116">
        <v>360</v>
      </c>
    </row>
    <row r="12" spans="1:5" s="3" customFormat="1" ht="18.649999999999999" customHeight="1" x14ac:dyDescent="0.35">
      <c r="A12" s="47"/>
      <c r="B12" s="30" t="s">
        <v>24</v>
      </c>
      <c r="C12" s="1" t="s">
        <v>649</v>
      </c>
      <c r="D12" s="29">
        <v>41</v>
      </c>
      <c r="E12" s="116">
        <v>328</v>
      </c>
    </row>
    <row r="13" spans="1:5" s="3" customFormat="1" ht="18.649999999999999" customHeight="1" x14ac:dyDescent="0.35">
      <c r="A13" s="47"/>
      <c r="B13" s="30" t="s">
        <v>25</v>
      </c>
      <c r="C13" s="1" t="s">
        <v>649</v>
      </c>
      <c r="D13" s="29">
        <v>35</v>
      </c>
      <c r="E13" s="116">
        <v>175</v>
      </c>
    </row>
    <row r="14" spans="1:5" s="3" customFormat="1" ht="18.649999999999999" customHeight="1" x14ac:dyDescent="0.35">
      <c r="A14" s="534">
        <v>2</v>
      </c>
      <c r="B14" s="19" t="s">
        <v>14</v>
      </c>
      <c r="C14" s="532"/>
      <c r="D14" s="532"/>
      <c r="E14" s="117">
        <f>SUM(E15:E19)</f>
        <v>652</v>
      </c>
    </row>
    <row r="15" spans="1:5" s="3" customFormat="1" ht="18.649999999999999" customHeight="1" x14ac:dyDescent="0.35">
      <c r="A15" s="37" t="s">
        <v>69</v>
      </c>
      <c r="B15" s="32" t="s">
        <v>26</v>
      </c>
      <c r="C15" s="31" t="s">
        <v>789</v>
      </c>
      <c r="D15" s="31">
        <v>82</v>
      </c>
      <c r="E15" s="118">
        <v>410</v>
      </c>
    </row>
    <row r="16" spans="1:5" s="3" customFormat="1" ht="18.649999999999999" customHeight="1" x14ac:dyDescent="0.35">
      <c r="A16" s="37" t="s">
        <v>69</v>
      </c>
      <c r="B16" s="32" t="s">
        <v>826</v>
      </c>
      <c r="C16" s="31" t="s">
        <v>789</v>
      </c>
      <c r="D16" s="31">
        <v>5</v>
      </c>
      <c r="E16" s="118">
        <v>50</v>
      </c>
    </row>
    <row r="17" spans="1:5" s="3" customFormat="1" ht="18.649999999999999" customHeight="1" x14ac:dyDescent="0.35">
      <c r="A17" s="37" t="s">
        <v>69</v>
      </c>
      <c r="B17" s="32" t="s">
        <v>28</v>
      </c>
      <c r="C17" s="31" t="s">
        <v>790</v>
      </c>
      <c r="D17" s="31">
        <v>4</v>
      </c>
      <c r="E17" s="118">
        <v>16</v>
      </c>
    </row>
    <row r="18" spans="1:5" s="3" customFormat="1" ht="18.649999999999999" customHeight="1" x14ac:dyDescent="0.35">
      <c r="A18" s="37" t="s">
        <v>69</v>
      </c>
      <c r="B18" s="32" t="s">
        <v>29</v>
      </c>
      <c r="C18" s="31" t="s">
        <v>790</v>
      </c>
      <c r="D18" s="31">
        <v>2</v>
      </c>
      <c r="E18" s="118">
        <v>20</v>
      </c>
    </row>
    <row r="19" spans="1:5" s="3" customFormat="1" ht="29.25" customHeight="1" x14ac:dyDescent="0.35">
      <c r="A19" s="37" t="s">
        <v>69</v>
      </c>
      <c r="B19" s="32" t="s">
        <v>30</v>
      </c>
      <c r="C19" s="31" t="s">
        <v>791</v>
      </c>
      <c r="D19" s="31">
        <v>39</v>
      </c>
      <c r="E19" s="118">
        <v>156</v>
      </c>
    </row>
    <row r="20" spans="1:5" s="3" customFormat="1" ht="18.649999999999999" customHeight="1" x14ac:dyDescent="0.35">
      <c r="A20" s="534">
        <v>3</v>
      </c>
      <c r="B20" s="19" t="s">
        <v>32</v>
      </c>
      <c r="C20" s="532"/>
      <c r="D20" s="29"/>
      <c r="E20" s="134">
        <v>61.875</v>
      </c>
    </row>
    <row r="21" spans="1:5" s="3" customFormat="1" ht="30.75" customHeight="1" x14ac:dyDescent="0.35">
      <c r="A21" s="31"/>
      <c r="B21" s="32" t="s">
        <v>34</v>
      </c>
      <c r="C21" s="31" t="s">
        <v>654</v>
      </c>
      <c r="D21" s="29">
        <v>8250</v>
      </c>
      <c r="E21" s="119">
        <v>61.875</v>
      </c>
    </row>
    <row r="22" spans="1:5" s="3" customFormat="1" ht="24" customHeight="1" x14ac:dyDescent="0.35">
      <c r="A22" s="534">
        <v>4</v>
      </c>
      <c r="B22" s="19" t="s">
        <v>36</v>
      </c>
      <c r="C22" s="532"/>
      <c r="D22" s="532"/>
      <c r="E22" s="120">
        <f>E23+E27</f>
        <v>1561.1</v>
      </c>
    </row>
    <row r="23" spans="1:5" s="3" customFormat="1" ht="18.649999999999999" customHeight="1" x14ac:dyDescent="0.35">
      <c r="A23" s="48" t="s">
        <v>47</v>
      </c>
      <c r="B23" s="21" t="s">
        <v>37</v>
      </c>
      <c r="C23" s="20"/>
      <c r="D23" s="20"/>
      <c r="E23" s="121">
        <f>SUM(E24:E26)</f>
        <v>893.6</v>
      </c>
    </row>
    <row r="24" spans="1:5" s="3" customFormat="1" ht="18.649999999999999" customHeight="1" x14ac:dyDescent="0.35">
      <c r="A24" s="37" t="s">
        <v>69</v>
      </c>
      <c r="B24" s="18" t="s">
        <v>38</v>
      </c>
      <c r="C24" s="1" t="s">
        <v>654</v>
      </c>
      <c r="D24" s="1">
        <v>1480</v>
      </c>
      <c r="E24" s="115">
        <v>769.6</v>
      </c>
    </row>
    <row r="25" spans="1:5" s="3" customFormat="1" ht="18.649999999999999" customHeight="1" x14ac:dyDescent="0.35">
      <c r="A25" s="37" t="s">
        <v>69</v>
      </c>
      <c r="B25" s="18" t="s">
        <v>39</v>
      </c>
      <c r="C25" s="1" t="s">
        <v>654</v>
      </c>
      <c r="D25" s="1">
        <v>1280</v>
      </c>
      <c r="E25" s="115">
        <v>64</v>
      </c>
    </row>
    <row r="26" spans="1:5" s="3" customFormat="1" ht="29.25" customHeight="1" x14ac:dyDescent="0.35">
      <c r="A26" s="37" t="s">
        <v>69</v>
      </c>
      <c r="B26" s="18" t="s">
        <v>818</v>
      </c>
      <c r="C26" s="1" t="s">
        <v>717</v>
      </c>
      <c r="D26" s="1">
        <v>10</v>
      </c>
      <c r="E26" s="115">
        <v>60</v>
      </c>
    </row>
    <row r="27" spans="1:5" s="3" customFormat="1" ht="18.649999999999999" customHeight="1" x14ac:dyDescent="0.35">
      <c r="A27" s="49" t="s">
        <v>49</v>
      </c>
      <c r="B27" s="21" t="s">
        <v>43</v>
      </c>
      <c r="C27" s="20"/>
      <c r="D27" s="20"/>
      <c r="E27" s="121">
        <f>SUM(E28:E30)</f>
        <v>667.5</v>
      </c>
    </row>
    <row r="28" spans="1:5" s="3" customFormat="1" ht="18.649999999999999" customHeight="1" x14ac:dyDescent="0.35">
      <c r="A28" s="37" t="s">
        <v>69</v>
      </c>
      <c r="B28" s="18" t="s">
        <v>38</v>
      </c>
      <c r="C28" s="1" t="s">
        <v>654</v>
      </c>
      <c r="D28" s="1">
        <v>950</v>
      </c>
      <c r="E28" s="115">
        <v>494</v>
      </c>
    </row>
    <row r="29" spans="1:5" s="3" customFormat="1" ht="18.649999999999999" customHeight="1" x14ac:dyDescent="0.35">
      <c r="A29" s="37" t="s">
        <v>69</v>
      </c>
      <c r="B29" s="18" t="s">
        <v>39</v>
      </c>
      <c r="C29" s="1" t="s">
        <v>654</v>
      </c>
      <c r="D29" s="1">
        <v>2270</v>
      </c>
      <c r="E29" s="115">
        <v>113.5</v>
      </c>
    </row>
    <row r="30" spans="1:5" s="3" customFormat="1" ht="34.5" customHeight="1" x14ac:dyDescent="0.35">
      <c r="A30" s="37" t="s">
        <v>69</v>
      </c>
      <c r="B30" s="18" t="s">
        <v>818</v>
      </c>
      <c r="C30" s="1" t="s">
        <v>717</v>
      </c>
      <c r="D30" s="1">
        <v>10</v>
      </c>
      <c r="E30" s="115">
        <v>60</v>
      </c>
    </row>
    <row r="31" spans="1:5" s="3" customFormat="1" ht="18.649999999999999" customHeight="1" x14ac:dyDescent="0.35">
      <c r="A31" s="534">
        <v>5</v>
      </c>
      <c r="B31" s="19" t="s">
        <v>45</v>
      </c>
      <c r="C31" s="532"/>
      <c r="D31" s="532"/>
      <c r="E31" s="539">
        <f>E32+E38</f>
        <v>104</v>
      </c>
    </row>
    <row r="32" spans="1:5" s="3" customFormat="1" ht="18.649999999999999" customHeight="1" x14ac:dyDescent="0.35">
      <c r="A32" s="49" t="s">
        <v>47</v>
      </c>
      <c r="B32" s="21" t="s">
        <v>46</v>
      </c>
      <c r="C32" s="20"/>
      <c r="D32" s="20"/>
      <c r="E32" s="121">
        <f>SUM(E33:E37)</f>
        <v>92</v>
      </c>
    </row>
    <row r="33" spans="1:5" s="3" customFormat="1" ht="50.25" customHeight="1" x14ac:dyDescent="0.35">
      <c r="A33" s="37" t="s">
        <v>69</v>
      </c>
      <c r="B33" s="18" t="s">
        <v>48</v>
      </c>
      <c r="C33" s="1" t="s">
        <v>649</v>
      </c>
      <c r="D33" s="1">
        <v>1</v>
      </c>
      <c r="E33" s="115">
        <v>50</v>
      </c>
    </row>
    <row r="34" spans="1:5" s="3" customFormat="1" ht="17.25" customHeight="1" x14ac:dyDescent="0.35">
      <c r="A34" s="45" t="s">
        <v>69</v>
      </c>
      <c r="B34" s="18" t="s">
        <v>50</v>
      </c>
      <c r="C34" s="1" t="s">
        <v>676</v>
      </c>
      <c r="D34" s="1">
        <v>1</v>
      </c>
      <c r="E34" s="115">
        <v>21</v>
      </c>
    </row>
    <row r="35" spans="1:5" s="3" customFormat="1" ht="18.649999999999999" customHeight="1" x14ac:dyDescent="0.35">
      <c r="A35" s="37" t="s">
        <v>69</v>
      </c>
      <c r="B35" s="18" t="s">
        <v>51</v>
      </c>
      <c r="C35" s="1" t="s">
        <v>676</v>
      </c>
      <c r="D35" s="1">
        <v>1</v>
      </c>
      <c r="E35" s="115">
        <v>10</v>
      </c>
    </row>
    <row r="36" spans="1:5" s="3" customFormat="1" ht="18.649999999999999" customHeight="1" x14ac:dyDescent="0.35">
      <c r="A36" s="37" t="s">
        <v>69</v>
      </c>
      <c r="B36" s="35" t="s">
        <v>54</v>
      </c>
      <c r="C36" s="420" t="s">
        <v>683</v>
      </c>
      <c r="D36" s="1">
        <v>3</v>
      </c>
      <c r="E36" s="115">
        <v>6</v>
      </c>
    </row>
    <row r="37" spans="1:5" s="3" customFormat="1" ht="21" customHeight="1" x14ac:dyDescent="0.35">
      <c r="A37" s="37" t="s">
        <v>69</v>
      </c>
      <c r="B37" s="35" t="s">
        <v>55</v>
      </c>
      <c r="C37" s="420" t="s">
        <v>683</v>
      </c>
      <c r="D37" s="1">
        <v>5</v>
      </c>
      <c r="E37" s="115">
        <v>5</v>
      </c>
    </row>
    <row r="38" spans="1:5" s="3" customFormat="1" ht="18.649999999999999" customHeight="1" x14ac:dyDescent="0.35">
      <c r="A38" s="49" t="s">
        <v>49</v>
      </c>
      <c r="B38" s="36" t="s">
        <v>56</v>
      </c>
      <c r="C38" s="472"/>
      <c r="D38" s="20"/>
      <c r="E38" s="121">
        <v>12</v>
      </c>
    </row>
    <row r="39" spans="1:5" s="3" customFormat="1" ht="21" customHeight="1" x14ac:dyDescent="0.35">
      <c r="A39" s="31"/>
      <c r="B39" s="32" t="s">
        <v>59</v>
      </c>
      <c r="C39" s="31" t="s">
        <v>676</v>
      </c>
      <c r="D39" s="31">
        <v>1</v>
      </c>
      <c r="E39" s="122">
        <v>12</v>
      </c>
    </row>
    <row r="40" spans="1:5" s="3" customFormat="1" ht="18.649999999999999" customHeight="1" x14ac:dyDescent="0.35">
      <c r="A40" s="534">
        <v>6</v>
      </c>
      <c r="B40" s="19" t="s">
        <v>61</v>
      </c>
      <c r="C40" s="532"/>
      <c r="D40" s="532"/>
      <c r="E40" s="539">
        <f>SUM(E41:E42)</f>
        <v>125.1</v>
      </c>
    </row>
    <row r="41" spans="1:5" s="3" customFormat="1" ht="23.25" customHeight="1" x14ac:dyDescent="0.35">
      <c r="A41" s="37" t="s">
        <v>69</v>
      </c>
      <c r="B41" s="18" t="s">
        <v>62</v>
      </c>
      <c r="C41" s="1" t="s">
        <v>681</v>
      </c>
      <c r="D41" s="1">
        <v>57</v>
      </c>
      <c r="E41" s="115">
        <v>57</v>
      </c>
    </row>
    <row r="42" spans="1:5" s="3" customFormat="1" ht="18.649999999999999" customHeight="1" x14ac:dyDescent="0.35">
      <c r="A42" s="37" t="s">
        <v>69</v>
      </c>
      <c r="B42" s="18" t="s">
        <v>63</v>
      </c>
      <c r="C42" s="1" t="s">
        <v>654</v>
      </c>
      <c r="D42" s="1">
        <v>2270</v>
      </c>
      <c r="E42" s="115">
        <v>68.099999999999994</v>
      </c>
    </row>
    <row r="43" spans="1:5" s="3" customFormat="1" ht="21.75" customHeight="1" x14ac:dyDescent="0.35">
      <c r="A43" s="534">
        <v>7</v>
      </c>
      <c r="B43" s="19" t="s">
        <v>66</v>
      </c>
      <c r="C43" s="532"/>
      <c r="D43" s="532"/>
      <c r="E43" s="539">
        <f>SUM(E44:E44)</f>
        <v>86</v>
      </c>
    </row>
    <row r="44" spans="1:5" s="3" customFormat="1" ht="23.25" customHeight="1" x14ac:dyDescent="0.35">
      <c r="A44" s="37" t="s">
        <v>69</v>
      </c>
      <c r="B44" s="18" t="s">
        <v>67</v>
      </c>
      <c r="C44" s="1" t="s">
        <v>791</v>
      </c>
      <c r="D44" s="1">
        <v>86</v>
      </c>
      <c r="E44" s="115">
        <v>86</v>
      </c>
    </row>
    <row r="45" spans="1:5" s="3" customFormat="1" ht="18.649999999999999" customHeight="1" x14ac:dyDescent="0.35">
      <c r="A45" s="534" t="s">
        <v>8</v>
      </c>
      <c r="B45" s="16" t="s">
        <v>77</v>
      </c>
      <c r="C45" s="17"/>
      <c r="D45" s="17"/>
      <c r="E45" s="138">
        <f>E46+E53+E57+E59+E73+E77+E80</f>
        <v>3961.6</v>
      </c>
    </row>
    <row r="46" spans="1:5" s="40" customFormat="1" ht="18.649999999999999" customHeight="1" x14ac:dyDescent="0.35">
      <c r="A46" s="534">
        <v>1</v>
      </c>
      <c r="B46" s="38" t="s">
        <v>13</v>
      </c>
      <c r="C46" s="534"/>
      <c r="D46" s="534"/>
      <c r="E46" s="123">
        <f>SUM(E47:E49)</f>
        <v>1083</v>
      </c>
    </row>
    <row r="47" spans="1:5" s="40" customFormat="1" ht="18.649999999999999" customHeight="1" x14ac:dyDescent="0.35">
      <c r="A47" s="45" t="s">
        <v>69</v>
      </c>
      <c r="B47" s="55" t="s">
        <v>70</v>
      </c>
      <c r="C47" s="31" t="s">
        <v>767</v>
      </c>
      <c r="D47" s="31">
        <v>4</v>
      </c>
      <c r="E47" s="122">
        <v>400</v>
      </c>
    </row>
    <row r="48" spans="1:5" s="40" customFormat="1" ht="18.649999999999999" customHeight="1" x14ac:dyDescent="0.35">
      <c r="A48" s="45" t="s">
        <v>69</v>
      </c>
      <c r="B48" s="32" t="s">
        <v>71</v>
      </c>
      <c r="C48" s="31" t="s">
        <v>767</v>
      </c>
      <c r="D48" s="31">
        <v>6</v>
      </c>
      <c r="E48" s="122">
        <v>100</v>
      </c>
    </row>
    <row r="49" spans="1:5" s="40" customFormat="1" ht="18.649999999999999" customHeight="1" x14ac:dyDescent="0.35">
      <c r="A49" s="45" t="s">
        <v>69</v>
      </c>
      <c r="B49" s="32" t="s">
        <v>21</v>
      </c>
      <c r="C49" s="31"/>
      <c r="D49" s="31"/>
      <c r="E49" s="122">
        <f>SUM(E50:E52)</f>
        <v>583</v>
      </c>
    </row>
    <row r="50" spans="1:5" s="40" customFormat="1" ht="18.649999999999999" customHeight="1" x14ac:dyDescent="0.35">
      <c r="A50" s="534"/>
      <c r="B50" s="50" t="s">
        <v>23</v>
      </c>
      <c r="C50" s="47" t="s">
        <v>767</v>
      </c>
      <c r="D50" s="47">
        <v>19</v>
      </c>
      <c r="E50" s="124">
        <v>190</v>
      </c>
    </row>
    <row r="51" spans="1:5" s="40" customFormat="1" ht="18.649999999999999" customHeight="1" x14ac:dyDescent="0.35">
      <c r="A51" s="534"/>
      <c r="B51" s="50" t="s">
        <v>24</v>
      </c>
      <c r="C51" s="47" t="s">
        <v>767</v>
      </c>
      <c r="D51" s="47">
        <v>31</v>
      </c>
      <c r="E51" s="124">
        <v>248</v>
      </c>
    </row>
    <row r="52" spans="1:5" s="40" customFormat="1" ht="18.649999999999999" customHeight="1" x14ac:dyDescent="0.35">
      <c r="A52" s="534"/>
      <c r="B52" s="50" t="s">
        <v>25</v>
      </c>
      <c r="C52" s="47" t="s">
        <v>767</v>
      </c>
      <c r="D52" s="47">
        <v>29</v>
      </c>
      <c r="E52" s="124">
        <v>145</v>
      </c>
    </row>
    <row r="53" spans="1:5" s="40" customFormat="1" ht="18.649999999999999" customHeight="1" x14ac:dyDescent="0.35">
      <c r="A53" s="534">
        <v>2</v>
      </c>
      <c r="B53" s="51" t="s">
        <v>14</v>
      </c>
      <c r="C53" s="534"/>
      <c r="D53" s="534"/>
      <c r="E53" s="123">
        <f>SUM(E54:E56)</f>
        <v>1122</v>
      </c>
    </row>
    <row r="54" spans="1:5" s="40" customFormat="1" ht="18.649999999999999" customHeight="1" x14ac:dyDescent="0.35">
      <c r="A54" s="45" t="s">
        <v>69</v>
      </c>
      <c r="B54" s="32" t="s">
        <v>26</v>
      </c>
      <c r="C54" s="31" t="s">
        <v>789</v>
      </c>
      <c r="D54" s="31">
        <v>91</v>
      </c>
      <c r="E54" s="122">
        <v>910</v>
      </c>
    </row>
    <row r="55" spans="1:5" s="40" customFormat="1" ht="28.5" customHeight="1" x14ac:dyDescent="0.35">
      <c r="A55" s="45" t="s">
        <v>69</v>
      </c>
      <c r="B55" s="32" t="s">
        <v>76</v>
      </c>
      <c r="C55" s="31" t="s">
        <v>790</v>
      </c>
      <c r="D55" s="31">
        <v>43</v>
      </c>
      <c r="E55" s="122">
        <v>172</v>
      </c>
    </row>
    <row r="56" spans="1:5" s="40" customFormat="1" ht="18.649999999999999" customHeight="1" x14ac:dyDescent="0.35">
      <c r="A56" s="45" t="s">
        <v>69</v>
      </c>
      <c r="B56" s="32" t="s">
        <v>826</v>
      </c>
      <c r="C56" s="31" t="s">
        <v>789</v>
      </c>
      <c r="D56" s="31">
        <v>4</v>
      </c>
      <c r="E56" s="122">
        <v>40</v>
      </c>
    </row>
    <row r="57" spans="1:5" s="40" customFormat="1" ht="18.649999999999999" customHeight="1" x14ac:dyDescent="0.35">
      <c r="A57" s="534">
        <v>3</v>
      </c>
      <c r="B57" s="51" t="s">
        <v>32</v>
      </c>
      <c r="C57" s="534"/>
      <c r="D57" s="534"/>
      <c r="E57" s="123">
        <v>73.5</v>
      </c>
    </row>
    <row r="58" spans="1:5" s="40" customFormat="1" ht="33" customHeight="1" x14ac:dyDescent="0.35">
      <c r="A58" s="534"/>
      <c r="B58" s="32" t="s">
        <v>34</v>
      </c>
      <c r="C58" s="31" t="s">
        <v>654</v>
      </c>
      <c r="D58" s="31">
        <v>9800</v>
      </c>
      <c r="E58" s="122">
        <v>73.5</v>
      </c>
    </row>
    <row r="59" spans="1:5" s="40" customFormat="1" ht="23.25" customHeight="1" x14ac:dyDescent="0.35">
      <c r="A59" s="534">
        <v>4</v>
      </c>
      <c r="B59" s="51" t="s">
        <v>36</v>
      </c>
      <c r="C59" s="534"/>
      <c r="D59" s="534"/>
      <c r="E59" s="135">
        <f>E60+E67</f>
        <v>1401.1</v>
      </c>
    </row>
    <row r="60" spans="1:5" s="40" customFormat="1" ht="18.649999999999999" customHeight="1" x14ac:dyDescent="0.35">
      <c r="A60" s="534" t="s">
        <v>47</v>
      </c>
      <c r="B60" s="52" t="s">
        <v>37</v>
      </c>
      <c r="C60" s="48"/>
      <c r="D60" s="48"/>
      <c r="E60" s="133">
        <f>SUM(E61:E66)</f>
        <v>651</v>
      </c>
    </row>
    <row r="61" spans="1:5" s="40" customFormat="1" ht="18.649999999999999" customHeight="1" x14ac:dyDescent="0.35">
      <c r="A61" s="45" t="s">
        <v>69</v>
      </c>
      <c r="B61" s="32" t="s">
        <v>38</v>
      </c>
      <c r="C61" s="31" t="s">
        <v>654</v>
      </c>
      <c r="D61" s="31">
        <v>1000</v>
      </c>
      <c r="E61" s="122">
        <v>520</v>
      </c>
    </row>
    <row r="62" spans="1:5" s="40" customFormat="1" ht="18.649999999999999" customHeight="1" x14ac:dyDescent="0.35">
      <c r="A62" s="45" t="s">
        <v>69</v>
      </c>
      <c r="B62" s="32" t="s">
        <v>39</v>
      </c>
      <c r="C62" s="31" t="s">
        <v>654</v>
      </c>
      <c r="D62" s="31">
        <v>1100</v>
      </c>
      <c r="E62" s="122">
        <v>55</v>
      </c>
    </row>
    <row r="63" spans="1:5" s="40" customFormat="1" ht="37.5" customHeight="1" x14ac:dyDescent="0.35">
      <c r="A63" s="45" t="s">
        <v>69</v>
      </c>
      <c r="B63" s="18" t="s">
        <v>818</v>
      </c>
      <c r="C63" s="31" t="s">
        <v>717</v>
      </c>
      <c r="D63" s="31">
        <v>10</v>
      </c>
      <c r="E63" s="122">
        <v>60</v>
      </c>
    </row>
    <row r="64" spans="1:5" s="40" customFormat="1" ht="18.649999999999999" customHeight="1" x14ac:dyDescent="0.35">
      <c r="A64" s="45" t="s">
        <v>69</v>
      </c>
      <c r="B64" s="32" t="s">
        <v>41</v>
      </c>
      <c r="C64" s="31" t="s">
        <v>735</v>
      </c>
      <c r="D64" s="31">
        <v>100</v>
      </c>
      <c r="E64" s="122">
        <v>4.8</v>
      </c>
    </row>
    <row r="65" spans="1:6" s="40" customFormat="1" ht="18.649999999999999" customHeight="1" x14ac:dyDescent="0.35">
      <c r="A65" s="45" t="s">
        <v>69</v>
      </c>
      <c r="B65" s="32" t="s">
        <v>15</v>
      </c>
      <c r="C65" s="31" t="s">
        <v>792</v>
      </c>
      <c r="D65" s="31">
        <v>140</v>
      </c>
      <c r="E65" s="122">
        <v>7</v>
      </c>
    </row>
    <row r="66" spans="1:6" s="40" customFormat="1" ht="18.649999999999999" customHeight="1" x14ac:dyDescent="0.35">
      <c r="A66" s="45" t="s">
        <v>69</v>
      </c>
      <c r="B66" s="32" t="s">
        <v>42</v>
      </c>
      <c r="C66" s="31" t="s">
        <v>793</v>
      </c>
      <c r="D66" s="31">
        <v>8</v>
      </c>
      <c r="E66" s="122">
        <v>4.2</v>
      </c>
    </row>
    <row r="67" spans="1:6" s="40" customFormat="1" ht="18.649999999999999" customHeight="1" x14ac:dyDescent="0.35">
      <c r="A67" s="534" t="s">
        <v>49</v>
      </c>
      <c r="B67" s="52" t="s">
        <v>43</v>
      </c>
      <c r="C67" s="48"/>
      <c r="D67" s="48"/>
      <c r="E67" s="125">
        <f>SUM(E68:E72)</f>
        <v>750.1</v>
      </c>
    </row>
    <row r="68" spans="1:6" s="40" customFormat="1" ht="18.649999999999999" customHeight="1" x14ac:dyDescent="0.35">
      <c r="A68" s="45" t="s">
        <v>69</v>
      </c>
      <c r="B68" s="32" t="s">
        <v>38</v>
      </c>
      <c r="C68" s="31" t="s">
        <v>654</v>
      </c>
      <c r="D68" s="31">
        <v>1330</v>
      </c>
      <c r="E68" s="122">
        <v>665</v>
      </c>
    </row>
    <row r="69" spans="1:6" s="40" customFormat="1" ht="18.649999999999999" customHeight="1" x14ac:dyDescent="0.35">
      <c r="A69" s="45" t="s">
        <v>69</v>
      </c>
      <c r="B69" s="32" t="s">
        <v>39</v>
      </c>
      <c r="C69" s="31" t="s">
        <v>654</v>
      </c>
      <c r="D69" s="31">
        <v>550</v>
      </c>
      <c r="E69" s="122">
        <v>27.5</v>
      </c>
    </row>
    <row r="70" spans="1:6" s="40" customFormat="1" ht="33" customHeight="1" x14ac:dyDescent="0.35">
      <c r="A70" s="45" t="s">
        <v>69</v>
      </c>
      <c r="B70" s="18" t="s">
        <v>818</v>
      </c>
      <c r="C70" s="31" t="s">
        <v>717</v>
      </c>
      <c r="D70" s="31">
        <v>6</v>
      </c>
      <c r="E70" s="122">
        <v>36</v>
      </c>
    </row>
    <row r="71" spans="1:6" s="40" customFormat="1" ht="18.649999999999999" customHeight="1" x14ac:dyDescent="0.35">
      <c r="A71" s="45" t="s">
        <v>69</v>
      </c>
      <c r="B71" s="32" t="s">
        <v>41</v>
      </c>
      <c r="C71" s="31" t="s">
        <v>735</v>
      </c>
      <c r="D71" s="31">
        <v>80</v>
      </c>
      <c r="E71" s="122">
        <v>9.6</v>
      </c>
    </row>
    <row r="72" spans="1:6" s="40" customFormat="1" ht="18.649999999999999" customHeight="1" x14ac:dyDescent="0.35">
      <c r="A72" s="45" t="s">
        <v>69</v>
      </c>
      <c r="B72" s="32" t="s">
        <v>42</v>
      </c>
      <c r="C72" s="31" t="s">
        <v>793</v>
      </c>
      <c r="D72" s="31">
        <v>24</v>
      </c>
      <c r="E72" s="122">
        <v>12</v>
      </c>
    </row>
    <row r="73" spans="1:6" s="40" customFormat="1" ht="18.649999999999999" customHeight="1" x14ac:dyDescent="0.35">
      <c r="A73" s="534">
        <v>5</v>
      </c>
      <c r="B73" s="51" t="s">
        <v>45</v>
      </c>
      <c r="C73" s="534"/>
      <c r="D73" s="534"/>
      <c r="E73" s="123">
        <f>SUM(E74:E76)</f>
        <v>39</v>
      </c>
    </row>
    <row r="74" spans="1:6" s="40" customFormat="1" ht="21" customHeight="1" x14ac:dyDescent="0.35">
      <c r="A74" s="45" t="s">
        <v>69</v>
      </c>
      <c r="B74" s="32" t="s">
        <v>821</v>
      </c>
      <c r="C74" s="31" t="s">
        <v>683</v>
      </c>
      <c r="D74" s="31">
        <v>20</v>
      </c>
      <c r="E74" s="122">
        <v>20</v>
      </c>
      <c r="F74" s="342"/>
    </row>
    <row r="75" spans="1:6" s="40" customFormat="1" ht="18.649999999999999" customHeight="1" x14ac:dyDescent="0.35">
      <c r="A75" s="45" t="s">
        <v>69</v>
      </c>
      <c r="B75" s="32" t="s">
        <v>73</v>
      </c>
      <c r="C75" s="31" t="s">
        <v>683</v>
      </c>
      <c r="D75" s="31">
        <v>3</v>
      </c>
      <c r="E75" s="122">
        <v>9</v>
      </c>
    </row>
    <row r="76" spans="1:6" s="40" customFormat="1" ht="18.649999999999999" customHeight="1" x14ac:dyDescent="0.35">
      <c r="A76" s="45" t="s">
        <v>69</v>
      </c>
      <c r="B76" s="32" t="s">
        <v>51</v>
      </c>
      <c r="C76" s="31" t="s">
        <v>676</v>
      </c>
      <c r="D76" s="31">
        <v>1</v>
      </c>
      <c r="E76" s="122">
        <v>10</v>
      </c>
    </row>
    <row r="77" spans="1:6" s="40" customFormat="1" ht="18.649999999999999" customHeight="1" x14ac:dyDescent="0.35">
      <c r="A77" s="534">
        <v>6</v>
      </c>
      <c r="B77" s="51" t="s">
        <v>61</v>
      </c>
      <c r="C77" s="534"/>
      <c r="D77" s="534"/>
      <c r="E77" s="123">
        <f>SUM(E78:E79)</f>
        <v>139</v>
      </c>
    </row>
    <row r="78" spans="1:6" s="40" customFormat="1" ht="19.5" customHeight="1" x14ac:dyDescent="0.35">
      <c r="A78" s="45" t="s">
        <v>69</v>
      </c>
      <c r="B78" s="32" t="s">
        <v>74</v>
      </c>
      <c r="C78" s="31" t="s">
        <v>681</v>
      </c>
      <c r="D78" s="31">
        <v>29</v>
      </c>
      <c r="E78" s="122">
        <v>14.5</v>
      </c>
    </row>
    <row r="79" spans="1:6" s="40" customFormat="1" ht="18.649999999999999" customHeight="1" x14ac:dyDescent="0.35">
      <c r="A79" s="45" t="s">
        <v>69</v>
      </c>
      <c r="B79" s="32" t="s">
        <v>63</v>
      </c>
      <c r="C79" s="31" t="s">
        <v>654</v>
      </c>
      <c r="D79" s="31">
        <v>4150</v>
      </c>
      <c r="E79" s="122">
        <v>124.5</v>
      </c>
    </row>
    <row r="80" spans="1:6" s="40" customFormat="1" ht="18.649999999999999" customHeight="1" x14ac:dyDescent="0.35">
      <c r="A80" s="31">
        <v>7</v>
      </c>
      <c r="B80" s="51" t="s">
        <v>66</v>
      </c>
      <c r="C80" s="534"/>
      <c r="D80" s="534"/>
      <c r="E80" s="123">
        <f>SUM(E81:E82)</f>
        <v>104</v>
      </c>
    </row>
    <row r="81" spans="1:5" s="40" customFormat="1" ht="18.649999999999999" customHeight="1" x14ac:dyDescent="0.35">
      <c r="A81" s="37" t="s">
        <v>69</v>
      </c>
      <c r="B81" s="32" t="s">
        <v>75</v>
      </c>
      <c r="C81" s="31" t="s">
        <v>683</v>
      </c>
      <c r="D81" s="31">
        <v>6</v>
      </c>
      <c r="E81" s="122">
        <v>12</v>
      </c>
    </row>
    <row r="82" spans="1:5" s="40" customFormat="1" ht="21" customHeight="1" x14ac:dyDescent="0.35">
      <c r="A82" s="37" t="s">
        <v>69</v>
      </c>
      <c r="B82" s="32" t="s">
        <v>67</v>
      </c>
      <c r="C82" s="31" t="s">
        <v>791</v>
      </c>
      <c r="D82" s="31">
        <v>92</v>
      </c>
      <c r="E82" s="122">
        <v>92</v>
      </c>
    </row>
    <row r="83" spans="1:5" s="3" customFormat="1" ht="21.75" customHeight="1" x14ac:dyDescent="0.35">
      <c r="A83" s="68" t="s">
        <v>31</v>
      </c>
      <c r="B83" s="69" t="s">
        <v>168</v>
      </c>
      <c r="C83" s="68"/>
      <c r="D83" s="69"/>
      <c r="E83" s="137">
        <f>E84+E91+E95+E97+E111+E129+E133</f>
        <v>2575.0200000000004</v>
      </c>
    </row>
    <row r="84" spans="1:5" s="3" customFormat="1" ht="20.25" customHeight="1" x14ac:dyDescent="0.35">
      <c r="A84" s="532">
        <v>1</v>
      </c>
      <c r="B84" s="10" t="s">
        <v>13</v>
      </c>
      <c r="C84" s="532"/>
      <c r="D84" s="532"/>
      <c r="E84" s="117">
        <f>SUM(E85:E87)</f>
        <v>544</v>
      </c>
    </row>
    <row r="85" spans="1:5" s="3" customFormat="1" ht="25.5" customHeight="1" x14ac:dyDescent="0.35">
      <c r="A85" s="136" t="s">
        <v>69</v>
      </c>
      <c r="B85" s="18" t="s">
        <v>19</v>
      </c>
      <c r="C85" s="1" t="s">
        <v>767</v>
      </c>
      <c r="D85" s="1">
        <v>1</v>
      </c>
      <c r="E85" s="115">
        <v>100</v>
      </c>
    </row>
    <row r="86" spans="1:5" s="3" customFormat="1" ht="24" customHeight="1" x14ac:dyDescent="0.35">
      <c r="A86" s="136" t="s">
        <v>69</v>
      </c>
      <c r="B86" s="18" t="s">
        <v>20</v>
      </c>
      <c r="C86" s="1" t="s">
        <v>767</v>
      </c>
      <c r="D86" s="1">
        <v>4</v>
      </c>
      <c r="E86" s="115">
        <v>120</v>
      </c>
    </row>
    <row r="87" spans="1:5" s="3" customFormat="1" ht="21" customHeight="1" x14ac:dyDescent="0.35">
      <c r="A87" s="136" t="s">
        <v>69</v>
      </c>
      <c r="B87" s="18" t="s">
        <v>21</v>
      </c>
      <c r="C87" s="1"/>
      <c r="D87" s="1"/>
      <c r="E87" s="115">
        <f>SUM(E88:E90)</f>
        <v>324</v>
      </c>
    </row>
    <row r="88" spans="1:5" s="3" customFormat="1" ht="21" customHeight="1" x14ac:dyDescent="0.35">
      <c r="A88" s="29"/>
      <c r="B88" s="30" t="s">
        <v>23</v>
      </c>
      <c r="C88" s="29" t="s">
        <v>767</v>
      </c>
      <c r="D88" s="29">
        <v>14</v>
      </c>
      <c r="E88" s="116">
        <v>140</v>
      </c>
    </row>
    <row r="89" spans="1:5" s="3" customFormat="1" ht="24.75" customHeight="1" x14ac:dyDescent="0.35">
      <c r="A89" s="29"/>
      <c r="B89" s="30" t="s">
        <v>24</v>
      </c>
      <c r="C89" s="29" t="s">
        <v>767</v>
      </c>
      <c r="D89" s="29">
        <v>13</v>
      </c>
      <c r="E89" s="116">
        <v>104</v>
      </c>
    </row>
    <row r="90" spans="1:5" s="3" customFormat="1" ht="22.5" customHeight="1" x14ac:dyDescent="0.35">
      <c r="A90" s="29"/>
      <c r="B90" s="30" t="s">
        <v>25</v>
      </c>
      <c r="C90" s="29" t="s">
        <v>767</v>
      </c>
      <c r="D90" s="29">
        <v>16</v>
      </c>
      <c r="E90" s="116">
        <v>80</v>
      </c>
    </row>
    <row r="91" spans="1:5" s="3" customFormat="1" ht="23.25" customHeight="1" x14ac:dyDescent="0.35">
      <c r="A91" s="532">
        <v>2</v>
      </c>
      <c r="B91" s="19" t="s">
        <v>14</v>
      </c>
      <c r="C91" s="532"/>
      <c r="D91" s="532"/>
      <c r="E91" s="539">
        <f>SUM(E92:E94)</f>
        <v>835</v>
      </c>
    </row>
    <row r="92" spans="1:5" s="3" customFormat="1" ht="21.75" customHeight="1" x14ac:dyDescent="0.35">
      <c r="A92" s="136" t="s">
        <v>69</v>
      </c>
      <c r="B92" s="32" t="s">
        <v>26</v>
      </c>
      <c r="C92" s="31" t="s">
        <v>789</v>
      </c>
      <c r="D92" s="31">
        <v>115</v>
      </c>
      <c r="E92" s="122">
        <v>575</v>
      </c>
    </row>
    <row r="93" spans="1:5" s="3" customFormat="1" ht="21" customHeight="1" x14ac:dyDescent="0.35">
      <c r="A93" s="136" t="s">
        <v>69</v>
      </c>
      <c r="B93" s="32" t="s">
        <v>826</v>
      </c>
      <c r="C93" s="31" t="s">
        <v>789</v>
      </c>
      <c r="D93" s="31">
        <v>4</v>
      </c>
      <c r="E93" s="122">
        <v>40</v>
      </c>
    </row>
    <row r="94" spans="1:5" s="3" customFormat="1" ht="33" customHeight="1" x14ac:dyDescent="0.35">
      <c r="A94" s="136" t="s">
        <v>69</v>
      </c>
      <c r="B94" s="32" t="s">
        <v>169</v>
      </c>
      <c r="C94" s="31" t="s">
        <v>791</v>
      </c>
      <c r="D94" s="31">
        <v>55</v>
      </c>
      <c r="E94" s="122">
        <v>220</v>
      </c>
    </row>
    <row r="95" spans="1:5" s="3" customFormat="1" ht="20.25" customHeight="1" x14ac:dyDescent="0.35">
      <c r="A95" s="532">
        <v>3</v>
      </c>
      <c r="B95" s="19" t="s">
        <v>32</v>
      </c>
      <c r="C95" s="532"/>
      <c r="D95" s="532"/>
      <c r="E95" s="539">
        <v>16.5</v>
      </c>
    </row>
    <row r="96" spans="1:5" s="3" customFormat="1" ht="30" customHeight="1" x14ac:dyDescent="0.35">
      <c r="A96" s="31"/>
      <c r="B96" s="32" t="s">
        <v>294</v>
      </c>
      <c r="C96" s="31" t="s">
        <v>654</v>
      </c>
      <c r="D96" s="31">
        <v>2200</v>
      </c>
      <c r="E96" s="122">
        <v>16.5</v>
      </c>
    </row>
    <row r="97" spans="1:5" s="3" customFormat="1" ht="22.5" customHeight="1" x14ac:dyDescent="0.35">
      <c r="A97" s="532">
        <v>4</v>
      </c>
      <c r="B97" s="19" t="s">
        <v>36</v>
      </c>
      <c r="C97" s="532"/>
      <c r="D97" s="532"/>
      <c r="E97" s="539">
        <f>E98+E104</f>
        <v>380.91999999999996</v>
      </c>
    </row>
    <row r="98" spans="1:5" s="3" customFormat="1" ht="20.25" customHeight="1" x14ac:dyDescent="0.35">
      <c r="A98" s="20" t="s">
        <v>22</v>
      </c>
      <c r="B98" s="21" t="s">
        <v>37</v>
      </c>
      <c r="C98" s="20"/>
      <c r="D98" s="20"/>
      <c r="E98" s="121">
        <f>SUM(E99:E103)</f>
        <v>302.39999999999998</v>
      </c>
    </row>
    <row r="99" spans="1:5" s="3" customFormat="1" ht="21" customHeight="1" x14ac:dyDescent="0.35">
      <c r="A99" s="1"/>
      <c r="B99" s="18" t="s">
        <v>38</v>
      </c>
      <c r="C99" s="1" t="s">
        <v>654</v>
      </c>
      <c r="D99" s="1">
        <v>500</v>
      </c>
      <c r="E99" s="115">
        <v>260</v>
      </c>
    </row>
    <row r="100" spans="1:5" s="3" customFormat="1" ht="20.25" customHeight="1" x14ac:dyDescent="0.35">
      <c r="A100" s="1"/>
      <c r="B100" s="18" t="s">
        <v>39</v>
      </c>
      <c r="C100" s="1" t="s">
        <v>654</v>
      </c>
      <c r="D100" s="1">
        <v>500</v>
      </c>
      <c r="E100" s="115">
        <v>25</v>
      </c>
    </row>
    <row r="101" spans="1:5" s="3" customFormat="1" ht="21.75" customHeight="1" x14ac:dyDescent="0.35">
      <c r="A101" s="1"/>
      <c r="B101" s="18" t="s">
        <v>41</v>
      </c>
      <c r="C101" s="1" t="s">
        <v>735</v>
      </c>
      <c r="D101" s="1">
        <v>100</v>
      </c>
      <c r="E101" s="115">
        <v>12</v>
      </c>
    </row>
    <row r="102" spans="1:5" s="3" customFormat="1" ht="17.25" customHeight="1" x14ac:dyDescent="0.35">
      <c r="A102" s="33"/>
      <c r="B102" s="34" t="s">
        <v>15</v>
      </c>
      <c r="C102" s="33" t="s">
        <v>792</v>
      </c>
      <c r="D102" s="33">
        <v>24</v>
      </c>
      <c r="E102" s="126">
        <v>1.2000000000000002</v>
      </c>
    </row>
    <row r="103" spans="1:5" s="3" customFormat="1" ht="19.5" customHeight="1" x14ac:dyDescent="0.35">
      <c r="A103" s="31"/>
      <c r="B103" s="32" t="s">
        <v>42</v>
      </c>
      <c r="C103" s="31" t="s">
        <v>793</v>
      </c>
      <c r="D103" s="31">
        <v>6</v>
      </c>
      <c r="E103" s="122">
        <v>4.1999999999999993</v>
      </c>
    </row>
    <row r="104" spans="1:5" s="3" customFormat="1" ht="18" customHeight="1" x14ac:dyDescent="0.35">
      <c r="A104" s="20" t="s">
        <v>22</v>
      </c>
      <c r="B104" s="21" t="s">
        <v>43</v>
      </c>
      <c r="C104" s="20"/>
      <c r="D104" s="20"/>
      <c r="E104" s="121">
        <f>SUM(E105:E110)</f>
        <v>78.52</v>
      </c>
    </row>
    <row r="105" spans="1:5" s="3" customFormat="1" ht="23.25" customHeight="1" x14ac:dyDescent="0.35">
      <c r="A105" s="1"/>
      <c r="B105" s="18" t="s">
        <v>38</v>
      </c>
      <c r="C105" s="1" t="s">
        <v>654</v>
      </c>
      <c r="D105" s="1">
        <v>100</v>
      </c>
      <c r="E105" s="115">
        <v>52</v>
      </c>
    </row>
    <row r="106" spans="1:5" s="3" customFormat="1" ht="23.25" customHeight="1" x14ac:dyDescent="0.35">
      <c r="A106" s="1"/>
      <c r="B106" s="18" t="s">
        <v>39</v>
      </c>
      <c r="C106" s="1" t="s">
        <v>654</v>
      </c>
      <c r="D106" s="1">
        <v>100</v>
      </c>
      <c r="E106" s="115">
        <v>5</v>
      </c>
    </row>
    <row r="107" spans="1:5" s="3" customFormat="1" ht="33" customHeight="1" x14ac:dyDescent="0.35">
      <c r="A107" s="1"/>
      <c r="B107" s="18" t="s">
        <v>818</v>
      </c>
      <c r="C107" s="1" t="s">
        <v>794</v>
      </c>
      <c r="D107" s="1">
        <v>3</v>
      </c>
      <c r="E107" s="115">
        <v>18</v>
      </c>
    </row>
    <row r="108" spans="1:5" s="3" customFormat="1" ht="24.75" customHeight="1" x14ac:dyDescent="0.35">
      <c r="A108" s="1"/>
      <c r="B108" s="18" t="s">
        <v>41</v>
      </c>
      <c r="C108" s="1" t="s">
        <v>735</v>
      </c>
      <c r="D108" s="1">
        <v>10</v>
      </c>
      <c r="E108" s="115">
        <v>1.2</v>
      </c>
    </row>
    <row r="109" spans="1:5" s="3" customFormat="1" ht="24" customHeight="1" x14ac:dyDescent="0.35">
      <c r="A109" s="33"/>
      <c r="B109" s="34" t="s">
        <v>15</v>
      </c>
      <c r="C109" s="33" t="s">
        <v>792</v>
      </c>
      <c r="D109" s="33">
        <v>8</v>
      </c>
      <c r="E109" s="126">
        <v>0.32</v>
      </c>
    </row>
    <row r="110" spans="1:5" s="3" customFormat="1" ht="21.75" customHeight="1" x14ac:dyDescent="0.35">
      <c r="A110" s="31"/>
      <c r="B110" s="32" t="s">
        <v>42</v>
      </c>
      <c r="C110" s="31" t="s">
        <v>793</v>
      </c>
      <c r="D110" s="31">
        <v>4</v>
      </c>
      <c r="E110" s="122">
        <v>2</v>
      </c>
    </row>
    <row r="111" spans="1:5" s="3" customFormat="1" ht="18.75" customHeight="1" x14ac:dyDescent="0.35">
      <c r="A111" s="532">
        <v>5</v>
      </c>
      <c r="B111" s="19" t="s">
        <v>45</v>
      </c>
      <c r="C111" s="532"/>
      <c r="D111" s="532"/>
      <c r="E111" s="539">
        <f>E112+E123</f>
        <v>639.79999999999995</v>
      </c>
    </row>
    <row r="112" spans="1:5" s="3" customFormat="1" ht="18.75" customHeight="1" x14ac:dyDescent="0.35">
      <c r="A112" s="532" t="s">
        <v>47</v>
      </c>
      <c r="B112" s="19" t="s">
        <v>46</v>
      </c>
      <c r="C112" s="532"/>
      <c r="D112" s="532"/>
      <c r="E112" s="539">
        <f>SUM(E113:E122)</f>
        <v>498</v>
      </c>
    </row>
    <row r="113" spans="1:5" s="3" customFormat="1" ht="21.75" customHeight="1" x14ac:dyDescent="0.35">
      <c r="A113" s="136" t="s">
        <v>69</v>
      </c>
      <c r="B113" s="18" t="s">
        <v>170</v>
      </c>
      <c r="C113" s="1" t="s">
        <v>767</v>
      </c>
      <c r="D113" s="1">
        <v>1</v>
      </c>
      <c r="E113" s="115">
        <v>400</v>
      </c>
    </row>
    <row r="114" spans="1:5" s="3" customFormat="1" ht="16.5" customHeight="1" x14ac:dyDescent="0.35">
      <c r="A114" s="136" t="s">
        <v>69</v>
      </c>
      <c r="B114" s="18" t="s">
        <v>171</v>
      </c>
      <c r="C114" s="1" t="s">
        <v>767</v>
      </c>
      <c r="D114" s="1">
        <v>1</v>
      </c>
      <c r="E114" s="115">
        <v>20</v>
      </c>
    </row>
    <row r="115" spans="1:5" s="3" customFormat="1" ht="21.75" customHeight="1" x14ac:dyDescent="0.35">
      <c r="A115" s="136" t="s">
        <v>69</v>
      </c>
      <c r="B115" s="18" t="s">
        <v>172</v>
      </c>
      <c r="C115" s="1" t="s">
        <v>767</v>
      </c>
      <c r="D115" s="1">
        <v>1</v>
      </c>
      <c r="E115" s="115">
        <v>20</v>
      </c>
    </row>
    <row r="116" spans="1:5" s="3" customFormat="1" ht="21.75" customHeight="1" x14ac:dyDescent="0.35">
      <c r="A116" s="136" t="s">
        <v>69</v>
      </c>
      <c r="B116" s="18" t="s">
        <v>173</v>
      </c>
      <c r="C116" s="1" t="s">
        <v>676</v>
      </c>
      <c r="D116" s="1">
        <v>1</v>
      </c>
      <c r="E116" s="115">
        <v>10</v>
      </c>
    </row>
    <row r="117" spans="1:5" s="3" customFormat="1" ht="21.75" customHeight="1" x14ac:dyDescent="0.35">
      <c r="A117" s="136" t="s">
        <v>69</v>
      </c>
      <c r="B117" s="18" t="s">
        <v>174</v>
      </c>
      <c r="C117" s="1" t="s">
        <v>676</v>
      </c>
      <c r="D117" s="1">
        <v>1</v>
      </c>
      <c r="E117" s="115">
        <v>15</v>
      </c>
    </row>
    <row r="118" spans="1:5" s="3" customFormat="1" ht="23.25" customHeight="1" x14ac:dyDescent="0.35">
      <c r="A118" s="136" t="s">
        <v>69</v>
      </c>
      <c r="B118" s="18" t="s">
        <v>175</v>
      </c>
      <c r="C118" s="1" t="s">
        <v>683</v>
      </c>
      <c r="D118" s="1">
        <v>1</v>
      </c>
      <c r="E118" s="115">
        <v>3</v>
      </c>
    </row>
    <row r="119" spans="1:5" s="3" customFormat="1" ht="21.75" customHeight="1" x14ac:dyDescent="0.35">
      <c r="A119" s="136" t="s">
        <v>69</v>
      </c>
      <c r="B119" s="18" t="s">
        <v>176</v>
      </c>
      <c r="C119" s="1" t="s">
        <v>683</v>
      </c>
      <c r="D119" s="1">
        <v>1</v>
      </c>
      <c r="E119" s="115">
        <v>4</v>
      </c>
    </row>
    <row r="120" spans="1:5" s="3" customFormat="1" ht="33" customHeight="1" x14ac:dyDescent="0.35">
      <c r="A120" s="136" t="s">
        <v>69</v>
      </c>
      <c r="B120" s="18" t="s">
        <v>177</v>
      </c>
      <c r="C120" s="1" t="s">
        <v>676</v>
      </c>
      <c r="D120" s="1">
        <v>1</v>
      </c>
      <c r="E120" s="115">
        <v>15</v>
      </c>
    </row>
    <row r="121" spans="1:5" s="3" customFormat="1" ht="24.75" customHeight="1" x14ac:dyDescent="0.35">
      <c r="A121" s="136" t="s">
        <v>69</v>
      </c>
      <c r="B121" s="18" t="s">
        <v>54</v>
      </c>
      <c r="C121" s="1" t="s">
        <v>683</v>
      </c>
      <c r="D121" s="1">
        <v>3</v>
      </c>
      <c r="E121" s="115">
        <v>6</v>
      </c>
    </row>
    <row r="122" spans="1:5" s="3" customFormat="1" ht="22.5" customHeight="1" x14ac:dyDescent="0.35">
      <c r="A122" s="136" t="s">
        <v>69</v>
      </c>
      <c r="B122" s="18" t="s">
        <v>55</v>
      </c>
      <c r="C122" s="1" t="s">
        <v>683</v>
      </c>
      <c r="D122" s="1">
        <v>5</v>
      </c>
      <c r="E122" s="115">
        <v>5</v>
      </c>
    </row>
    <row r="123" spans="1:5" s="3" customFormat="1" ht="33" customHeight="1" x14ac:dyDescent="0.35">
      <c r="A123" s="20" t="s">
        <v>49</v>
      </c>
      <c r="B123" s="21" t="s">
        <v>56</v>
      </c>
      <c r="C123" s="20"/>
      <c r="D123" s="20"/>
      <c r="E123" s="121">
        <f>SUM(E124:E128)</f>
        <v>141.80000000000001</v>
      </c>
    </row>
    <row r="124" spans="1:5" s="3" customFormat="1" ht="48" customHeight="1" x14ac:dyDescent="0.35">
      <c r="A124" s="136" t="s">
        <v>69</v>
      </c>
      <c r="B124" s="18" t="s">
        <v>178</v>
      </c>
      <c r="C124" s="1" t="s">
        <v>795</v>
      </c>
      <c r="D124" s="1">
        <v>1</v>
      </c>
      <c r="E124" s="115">
        <v>100</v>
      </c>
    </row>
    <row r="125" spans="1:5" s="3" customFormat="1" ht="19.5" customHeight="1" x14ac:dyDescent="0.35">
      <c r="A125" s="136" t="s">
        <v>69</v>
      </c>
      <c r="B125" s="32" t="s">
        <v>57</v>
      </c>
      <c r="C125" s="31" t="s">
        <v>735</v>
      </c>
      <c r="D125" s="31">
        <v>40</v>
      </c>
      <c r="E125" s="122">
        <v>4.8</v>
      </c>
    </row>
    <row r="126" spans="1:5" s="3" customFormat="1" ht="19.5" customHeight="1" x14ac:dyDescent="0.35">
      <c r="A126" s="136" t="s">
        <v>69</v>
      </c>
      <c r="B126" s="32" t="s">
        <v>179</v>
      </c>
      <c r="C126" s="31" t="s">
        <v>796</v>
      </c>
      <c r="D126" s="31">
        <v>2</v>
      </c>
      <c r="E126" s="122">
        <v>20</v>
      </c>
    </row>
    <row r="127" spans="1:5" s="3" customFormat="1" ht="21.75" customHeight="1" x14ac:dyDescent="0.35">
      <c r="A127" s="136" t="s">
        <v>69</v>
      </c>
      <c r="B127" s="32" t="s">
        <v>58</v>
      </c>
      <c r="C127" s="31" t="s">
        <v>676</v>
      </c>
      <c r="D127" s="31">
        <v>2</v>
      </c>
      <c r="E127" s="122">
        <v>5</v>
      </c>
    </row>
    <row r="128" spans="1:5" s="3" customFormat="1" ht="20.25" customHeight="1" x14ac:dyDescent="0.35">
      <c r="A128" s="136" t="s">
        <v>69</v>
      </c>
      <c r="B128" s="32" t="s">
        <v>59</v>
      </c>
      <c r="C128" s="31" t="s">
        <v>676</v>
      </c>
      <c r="D128" s="31">
        <v>1</v>
      </c>
      <c r="E128" s="122">
        <v>12</v>
      </c>
    </row>
    <row r="129" spans="1:5" s="3" customFormat="1" ht="21.75" customHeight="1" x14ac:dyDescent="0.35">
      <c r="A129" s="532">
        <v>6</v>
      </c>
      <c r="B129" s="19" t="s">
        <v>61</v>
      </c>
      <c r="C129" s="532"/>
      <c r="D129" s="532"/>
      <c r="E129" s="539">
        <f>SUM(E130:E132)</f>
        <v>48.8</v>
      </c>
    </row>
    <row r="130" spans="1:5" s="3" customFormat="1" ht="18.75" customHeight="1" x14ac:dyDescent="0.35">
      <c r="A130" s="136" t="s">
        <v>69</v>
      </c>
      <c r="B130" s="18" t="s">
        <v>62</v>
      </c>
      <c r="C130" s="1" t="s">
        <v>681</v>
      </c>
      <c r="D130" s="1">
        <v>27</v>
      </c>
      <c r="E130" s="115">
        <v>27</v>
      </c>
    </row>
    <row r="131" spans="1:5" s="3" customFormat="1" ht="18.75" customHeight="1" x14ac:dyDescent="0.35">
      <c r="A131" s="136" t="s">
        <v>69</v>
      </c>
      <c r="B131" s="18" t="s">
        <v>180</v>
      </c>
      <c r="C131" s="1" t="s">
        <v>654</v>
      </c>
      <c r="D131" s="1">
        <v>100</v>
      </c>
      <c r="E131" s="115">
        <v>0.8</v>
      </c>
    </row>
    <row r="132" spans="1:5" s="3" customFormat="1" ht="18.75" customHeight="1" x14ac:dyDescent="0.35">
      <c r="A132" s="136" t="s">
        <v>69</v>
      </c>
      <c r="B132" s="18" t="s">
        <v>63</v>
      </c>
      <c r="C132" s="1" t="s">
        <v>654</v>
      </c>
      <c r="D132" s="1">
        <v>700</v>
      </c>
      <c r="E132" s="115">
        <v>21</v>
      </c>
    </row>
    <row r="133" spans="1:5" s="3" customFormat="1" ht="26.25" customHeight="1" x14ac:dyDescent="0.35">
      <c r="A133" s="532">
        <v>7</v>
      </c>
      <c r="B133" s="19" t="s">
        <v>66</v>
      </c>
      <c r="C133" s="532"/>
      <c r="D133" s="532"/>
      <c r="E133" s="539">
        <f>SUM(E134:E134)</f>
        <v>110</v>
      </c>
    </row>
    <row r="134" spans="1:5" s="3" customFormat="1" ht="20.25" customHeight="1" x14ac:dyDescent="0.35">
      <c r="A134" s="136" t="s">
        <v>69</v>
      </c>
      <c r="B134" s="18" t="s">
        <v>67</v>
      </c>
      <c r="C134" s="1" t="s">
        <v>791</v>
      </c>
      <c r="D134" s="1">
        <v>110</v>
      </c>
      <c r="E134" s="115">
        <v>110</v>
      </c>
    </row>
    <row r="135" spans="1:5" s="538" customFormat="1" ht="18.649999999999999" customHeight="1" x14ac:dyDescent="0.35">
      <c r="A135" s="15" t="s">
        <v>35</v>
      </c>
      <c r="B135" s="16" t="s">
        <v>181</v>
      </c>
      <c r="C135" s="15"/>
      <c r="D135" s="15"/>
      <c r="E135" s="138">
        <f>E136+E143+E148+E150+E163+E181+E183</f>
        <v>6700.12</v>
      </c>
    </row>
    <row r="136" spans="1:5" s="63" customFormat="1" ht="19.5" customHeight="1" x14ac:dyDescent="0.35">
      <c r="A136" s="532">
        <v>1</v>
      </c>
      <c r="B136" s="10" t="s">
        <v>13</v>
      </c>
      <c r="C136" s="532"/>
      <c r="D136" s="532"/>
      <c r="E136" s="539">
        <f>SUM(E137:E139)</f>
        <v>1171</v>
      </c>
    </row>
    <row r="137" spans="1:5" s="64" customFormat="1" ht="22.5" customHeight="1" x14ac:dyDescent="0.35">
      <c r="A137" s="136" t="s">
        <v>69</v>
      </c>
      <c r="B137" s="64" t="s">
        <v>182</v>
      </c>
      <c r="C137" s="3" t="s">
        <v>767</v>
      </c>
      <c r="D137" s="1">
        <v>10</v>
      </c>
      <c r="E137" s="115">
        <v>100</v>
      </c>
    </row>
    <row r="138" spans="1:5" s="64" customFormat="1" ht="22.5" customHeight="1" x14ac:dyDescent="0.35">
      <c r="A138" s="136" t="s">
        <v>69</v>
      </c>
      <c r="B138" s="18" t="s">
        <v>71</v>
      </c>
      <c r="C138" s="1" t="s">
        <v>767</v>
      </c>
      <c r="D138" s="1">
        <v>8</v>
      </c>
      <c r="E138" s="115">
        <v>240</v>
      </c>
    </row>
    <row r="139" spans="1:5" s="64" customFormat="1" ht="22.5" customHeight="1" x14ac:dyDescent="0.35">
      <c r="A139" s="136" t="s">
        <v>69</v>
      </c>
      <c r="B139" s="18" t="s">
        <v>21</v>
      </c>
      <c r="C139" s="1"/>
      <c r="D139" s="1"/>
      <c r="E139" s="115">
        <f>SUM(E140:E142)</f>
        <v>831</v>
      </c>
    </row>
    <row r="140" spans="1:5" s="554" customFormat="1" ht="22.5" customHeight="1" x14ac:dyDescent="0.35">
      <c r="A140" s="29"/>
      <c r="B140" s="30" t="s">
        <v>23</v>
      </c>
      <c r="C140" s="29" t="s">
        <v>767</v>
      </c>
      <c r="D140" s="29">
        <v>34</v>
      </c>
      <c r="E140" s="116">
        <v>340</v>
      </c>
    </row>
    <row r="141" spans="1:5" s="554" customFormat="1" ht="22.5" customHeight="1" x14ac:dyDescent="0.35">
      <c r="A141" s="29"/>
      <c r="B141" s="30" t="s">
        <v>24</v>
      </c>
      <c r="C141" s="29" t="s">
        <v>767</v>
      </c>
      <c r="D141" s="29">
        <v>37</v>
      </c>
      <c r="E141" s="116">
        <v>296</v>
      </c>
    </row>
    <row r="142" spans="1:5" s="554" customFormat="1" ht="22.5" customHeight="1" x14ac:dyDescent="0.35">
      <c r="A142" s="29"/>
      <c r="B142" s="30" t="s">
        <v>25</v>
      </c>
      <c r="C142" s="29" t="s">
        <v>767</v>
      </c>
      <c r="D142" s="29">
        <v>39</v>
      </c>
      <c r="E142" s="116">
        <v>195</v>
      </c>
    </row>
    <row r="143" spans="1:5" s="65" customFormat="1" ht="20.25" customHeight="1" x14ac:dyDescent="0.35">
      <c r="A143" s="532">
        <v>2</v>
      </c>
      <c r="B143" s="19" t="s">
        <v>14</v>
      </c>
      <c r="C143" s="532"/>
      <c r="D143" s="532"/>
      <c r="E143" s="117">
        <f>SUM(E144:E147)</f>
        <v>1358</v>
      </c>
    </row>
    <row r="144" spans="1:5" s="65" customFormat="1" ht="18" customHeight="1" x14ac:dyDescent="0.35">
      <c r="A144" s="136" t="s">
        <v>69</v>
      </c>
      <c r="B144" s="18" t="s">
        <v>183</v>
      </c>
      <c r="C144" s="1" t="s">
        <v>789</v>
      </c>
      <c r="D144" s="1">
        <v>1</v>
      </c>
      <c r="E144" s="115">
        <v>10</v>
      </c>
    </row>
    <row r="145" spans="1:5" s="65" customFormat="1" ht="19.5" customHeight="1" x14ac:dyDescent="0.35">
      <c r="A145" s="136" t="s">
        <v>69</v>
      </c>
      <c r="B145" s="32" t="s">
        <v>26</v>
      </c>
      <c r="C145" s="31" t="s">
        <v>789</v>
      </c>
      <c r="D145" s="31">
        <v>98</v>
      </c>
      <c r="E145" s="122">
        <v>980</v>
      </c>
    </row>
    <row r="146" spans="1:5" s="65" customFormat="1" ht="21" customHeight="1" x14ac:dyDescent="0.35">
      <c r="A146" s="136" t="s">
        <v>69</v>
      </c>
      <c r="B146" s="32" t="s">
        <v>184</v>
      </c>
      <c r="C146" s="31" t="s">
        <v>790</v>
      </c>
      <c r="D146" s="31">
        <v>5</v>
      </c>
      <c r="E146" s="122">
        <v>20</v>
      </c>
    </row>
    <row r="147" spans="1:5" s="65" customFormat="1" ht="33" customHeight="1" x14ac:dyDescent="0.35">
      <c r="A147" s="136" t="s">
        <v>69</v>
      </c>
      <c r="B147" s="32" t="s">
        <v>72</v>
      </c>
      <c r="C147" s="31" t="s">
        <v>790</v>
      </c>
      <c r="D147" s="31">
        <v>87</v>
      </c>
      <c r="E147" s="122">
        <v>348</v>
      </c>
    </row>
    <row r="148" spans="1:5" s="65" customFormat="1" ht="18.75" customHeight="1" x14ac:dyDescent="0.35">
      <c r="A148" s="532">
        <v>3</v>
      </c>
      <c r="B148" s="19" t="s">
        <v>32</v>
      </c>
      <c r="C148" s="532"/>
      <c r="D148" s="532"/>
      <c r="E148" s="539">
        <v>82.5</v>
      </c>
    </row>
    <row r="149" spans="1:5" s="555" customFormat="1" ht="32.15" customHeight="1" x14ac:dyDescent="0.35">
      <c r="A149" s="31"/>
      <c r="B149" s="32" t="s">
        <v>294</v>
      </c>
      <c r="C149" s="31" t="s">
        <v>654</v>
      </c>
      <c r="D149" s="31">
        <v>11000</v>
      </c>
      <c r="E149" s="122">
        <v>82.5</v>
      </c>
    </row>
    <row r="150" spans="1:5" s="65" customFormat="1" ht="19.5" customHeight="1" x14ac:dyDescent="0.35">
      <c r="A150" s="532">
        <v>4</v>
      </c>
      <c r="B150" s="19" t="s">
        <v>36</v>
      </c>
      <c r="C150" s="532"/>
      <c r="D150" s="532"/>
      <c r="E150" s="120">
        <f>E151+E156</f>
        <v>3448.42</v>
      </c>
    </row>
    <row r="151" spans="1:5" s="66" customFormat="1" ht="19.5" customHeight="1" x14ac:dyDescent="0.35">
      <c r="A151" s="20" t="s">
        <v>22</v>
      </c>
      <c r="B151" s="21" t="s">
        <v>37</v>
      </c>
      <c r="C151" s="20"/>
      <c r="D151" s="20"/>
      <c r="E151" s="121">
        <f>SUM(E152:E155)</f>
        <v>412.5</v>
      </c>
    </row>
    <row r="152" spans="1:5" s="64" customFormat="1" ht="20.149999999999999" customHeight="1" x14ac:dyDescent="0.35">
      <c r="A152" s="1"/>
      <c r="B152" s="18" t="s">
        <v>38</v>
      </c>
      <c r="C152" s="1" t="s">
        <v>654</v>
      </c>
      <c r="D152" s="1">
        <v>650</v>
      </c>
      <c r="E152" s="115">
        <v>338</v>
      </c>
    </row>
    <row r="153" spans="1:5" s="64" customFormat="1" ht="21.75" customHeight="1" x14ac:dyDescent="0.35">
      <c r="A153" s="1"/>
      <c r="B153" s="18" t="s">
        <v>39</v>
      </c>
      <c r="C153" s="1" t="s">
        <v>654</v>
      </c>
      <c r="D153" s="1">
        <v>650</v>
      </c>
      <c r="E153" s="115">
        <v>32.5</v>
      </c>
    </row>
    <row r="154" spans="1:5" s="64" customFormat="1" ht="36.75" customHeight="1" x14ac:dyDescent="0.35">
      <c r="A154" s="1"/>
      <c r="B154" s="18" t="s">
        <v>818</v>
      </c>
      <c r="C154" s="1" t="s">
        <v>794</v>
      </c>
      <c r="D154" s="1">
        <v>5</v>
      </c>
      <c r="E154" s="115">
        <v>30</v>
      </c>
    </row>
    <row r="155" spans="1:5" s="64" customFormat="1" ht="26.25" customHeight="1" x14ac:dyDescent="0.35">
      <c r="A155" s="1"/>
      <c r="B155" s="18" t="s">
        <v>41</v>
      </c>
      <c r="C155" s="1" t="s">
        <v>797</v>
      </c>
      <c r="D155" s="1">
        <v>100</v>
      </c>
      <c r="E155" s="115">
        <v>12</v>
      </c>
    </row>
    <row r="156" spans="1:5" s="66" customFormat="1" ht="19.5" customHeight="1" x14ac:dyDescent="0.35">
      <c r="A156" s="20" t="s">
        <v>22</v>
      </c>
      <c r="B156" s="21" t="s">
        <v>43</v>
      </c>
      <c r="C156" s="20"/>
      <c r="D156" s="20"/>
      <c r="E156" s="556">
        <f>SUM(E157:E162)</f>
        <v>3035.92</v>
      </c>
    </row>
    <row r="157" spans="1:5" s="64" customFormat="1" ht="20.149999999999999" customHeight="1" x14ac:dyDescent="0.35">
      <c r="A157" s="1"/>
      <c r="B157" s="18" t="s">
        <v>38</v>
      </c>
      <c r="C157" s="1" t="s">
        <v>654</v>
      </c>
      <c r="D157" s="1">
        <v>5360</v>
      </c>
      <c r="E157" s="115">
        <v>2680</v>
      </c>
    </row>
    <row r="158" spans="1:5" s="64" customFormat="1" ht="21.75" customHeight="1" x14ac:dyDescent="0.35">
      <c r="A158" s="1"/>
      <c r="B158" s="18" t="s">
        <v>39</v>
      </c>
      <c r="C158" s="1" t="s">
        <v>654</v>
      </c>
      <c r="D158" s="1">
        <v>5040</v>
      </c>
      <c r="E158" s="115">
        <v>252</v>
      </c>
    </row>
    <row r="159" spans="1:5" s="64" customFormat="1" ht="36" customHeight="1" x14ac:dyDescent="0.35">
      <c r="A159" s="1"/>
      <c r="B159" s="18" t="s">
        <v>818</v>
      </c>
      <c r="C159" s="1" t="s">
        <v>717</v>
      </c>
      <c r="D159" s="1">
        <v>10</v>
      </c>
      <c r="E159" s="115">
        <v>60</v>
      </c>
    </row>
    <row r="160" spans="1:5" s="64" customFormat="1" ht="26.25" customHeight="1" x14ac:dyDescent="0.35">
      <c r="A160" s="1"/>
      <c r="B160" s="18" t="s">
        <v>41</v>
      </c>
      <c r="C160" s="1" t="s">
        <v>735</v>
      </c>
      <c r="D160" s="1">
        <v>150</v>
      </c>
      <c r="E160" s="115">
        <v>18</v>
      </c>
    </row>
    <row r="161" spans="1:5" s="555" customFormat="1" ht="26.25" customHeight="1" x14ac:dyDescent="0.35">
      <c r="A161" s="31"/>
      <c r="B161" s="32" t="s">
        <v>15</v>
      </c>
      <c r="C161" s="31" t="s">
        <v>792</v>
      </c>
      <c r="D161" s="31">
        <v>148</v>
      </c>
      <c r="E161" s="122">
        <v>5.92</v>
      </c>
    </row>
    <row r="162" spans="1:5" s="555" customFormat="1" ht="26.25" customHeight="1" x14ac:dyDescent="0.35">
      <c r="A162" s="31"/>
      <c r="B162" s="32" t="s">
        <v>42</v>
      </c>
      <c r="C162" s="31" t="s">
        <v>793</v>
      </c>
      <c r="D162" s="31">
        <v>40</v>
      </c>
      <c r="E162" s="122">
        <v>20</v>
      </c>
    </row>
    <row r="163" spans="1:5" s="65" customFormat="1" ht="19.5" customHeight="1" x14ac:dyDescent="0.35">
      <c r="A163" s="532">
        <v>5</v>
      </c>
      <c r="B163" s="19" t="s">
        <v>45</v>
      </c>
      <c r="C163" s="532"/>
      <c r="D163" s="532"/>
      <c r="E163" s="557">
        <f>E164+E174</f>
        <v>191.8</v>
      </c>
    </row>
    <row r="164" spans="1:5" s="66" customFormat="1" ht="19.5" customHeight="1" x14ac:dyDescent="0.35">
      <c r="A164" s="143" t="s">
        <v>69</v>
      </c>
      <c r="B164" s="21" t="s">
        <v>46</v>
      </c>
      <c r="C164" s="20"/>
      <c r="D164" s="20"/>
      <c r="E164" s="558">
        <f>SUM(E165:E173)</f>
        <v>80</v>
      </c>
    </row>
    <row r="165" spans="1:5" s="64" customFormat="1" ht="33" customHeight="1" x14ac:dyDescent="0.35">
      <c r="A165" s="1"/>
      <c r="B165" s="18" t="s">
        <v>177</v>
      </c>
      <c r="C165" s="1" t="s">
        <v>676</v>
      </c>
      <c r="D165" s="1">
        <v>1</v>
      </c>
      <c r="E165" s="115">
        <v>15</v>
      </c>
    </row>
    <row r="166" spans="1:5" s="65" customFormat="1" ht="22.5" customHeight="1" x14ac:dyDescent="0.35">
      <c r="A166" s="1"/>
      <c r="B166" s="18" t="s">
        <v>185</v>
      </c>
      <c r="C166" s="1" t="s">
        <v>676</v>
      </c>
      <c r="D166" s="1">
        <v>1</v>
      </c>
      <c r="E166" s="115">
        <v>20</v>
      </c>
    </row>
    <row r="167" spans="1:5" s="65" customFormat="1" ht="22.5" customHeight="1" x14ac:dyDescent="0.35">
      <c r="A167" s="1"/>
      <c r="B167" s="18" t="s">
        <v>186</v>
      </c>
      <c r="C167" s="1" t="s">
        <v>676</v>
      </c>
      <c r="D167" s="1">
        <v>1</v>
      </c>
      <c r="E167" s="115">
        <v>8</v>
      </c>
    </row>
    <row r="168" spans="1:5" s="65" customFormat="1" ht="22.5" customHeight="1" x14ac:dyDescent="0.35">
      <c r="A168" s="1"/>
      <c r="B168" s="18" t="s">
        <v>187</v>
      </c>
      <c r="C168" s="1" t="s">
        <v>798</v>
      </c>
      <c r="D168" s="1">
        <v>1</v>
      </c>
      <c r="E168" s="115">
        <v>3</v>
      </c>
    </row>
    <row r="169" spans="1:5" s="65" customFormat="1" ht="22.5" customHeight="1" x14ac:dyDescent="0.35">
      <c r="A169" s="1"/>
      <c r="B169" s="18" t="s">
        <v>53</v>
      </c>
      <c r="C169" s="1" t="s">
        <v>799</v>
      </c>
      <c r="D169" s="1">
        <v>200</v>
      </c>
      <c r="E169" s="115">
        <v>2</v>
      </c>
    </row>
    <row r="170" spans="1:5" s="65" customFormat="1" ht="21" customHeight="1" x14ac:dyDescent="0.35">
      <c r="A170" s="1"/>
      <c r="B170" s="35" t="s">
        <v>54</v>
      </c>
      <c r="C170" s="420" t="s">
        <v>683</v>
      </c>
      <c r="D170" s="1">
        <v>3</v>
      </c>
      <c r="E170" s="115">
        <v>6</v>
      </c>
    </row>
    <row r="171" spans="1:5" s="65" customFormat="1" ht="18.75" customHeight="1" x14ac:dyDescent="0.35">
      <c r="A171" s="1"/>
      <c r="B171" s="35" t="s">
        <v>88</v>
      </c>
      <c r="C171" s="420" t="s">
        <v>683</v>
      </c>
      <c r="D171" s="1">
        <v>40</v>
      </c>
      <c r="E171" s="115">
        <v>20</v>
      </c>
    </row>
    <row r="172" spans="1:5" s="65" customFormat="1" ht="18.75" customHeight="1" x14ac:dyDescent="0.35">
      <c r="A172" s="1"/>
      <c r="B172" s="35" t="s">
        <v>188</v>
      </c>
      <c r="C172" s="420" t="s">
        <v>683</v>
      </c>
      <c r="D172" s="1">
        <v>1</v>
      </c>
      <c r="E172" s="115">
        <v>3</v>
      </c>
    </row>
    <row r="173" spans="1:5" s="65" customFormat="1" ht="18.75" customHeight="1" x14ac:dyDescent="0.35">
      <c r="A173" s="1"/>
      <c r="B173" s="35" t="s">
        <v>189</v>
      </c>
      <c r="C173" s="420" t="s">
        <v>683</v>
      </c>
      <c r="D173" s="1">
        <v>1</v>
      </c>
      <c r="E173" s="115">
        <v>3</v>
      </c>
    </row>
    <row r="174" spans="1:5" s="66" customFormat="1" ht="18.75" customHeight="1" x14ac:dyDescent="0.35">
      <c r="A174" s="143" t="s">
        <v>69</v>
      </c>
      <c r="B174" s="36" t="s">
        <v>56</v>
      </c>
      <c r="C174" s="472"/>
      <c r="D174" s="20"/>
      <c r="E174" s="121">
        <f>SUM(E175:E180)</f>
        <v>111.8</v>
      </c>
    </row>
    <row r="175" spans="1:5" s="64" customFormat="1" ht="38.25" customHeight="1" x14ac:dyDescent="0.35">
      <c r="A175" s="1"/>
      <c r="B175" s="35" t="s">
        <v>190</v>
      </c>
      <c r="C175" s="1" t="s">
        <v>795</v>
      </c>
      <c r="D175" s="1">
        <v>1</v>
      </c>
      <c r="E175" s="115">
        <v>60</v>
      </c>
    </row>
    <row r="176" spans="1:5" s="64" customFormat="1" ht="18.75" customHeight="1" x14ac:dyDescent="0.35">
      <c r="A176" s="1"/>
      <c r="B176" s="35" t="s">
        <v>179</v>
      </c>
      <c r="C176" s="420" t="s">
        <v>796</v>
      </c>
      <c r="D176" s="1">
        <v>1</v>
      </c>
      <c r="E176" s="115">
        <v>10</v>
      </c>
    </row>
    <row r="177" spans="1:5" s="64" customFormat="1" ht="18.75" customHeight="1" x14ac:dyDescent="0.35">
      <c r="A177" s="1"/>
      <c r="B177" s="35" t="s">
        <v>191</v>
      </c>
      <c r="C177" s="420" t="s">
        <v>796</v>
      </c>
      <c r="D177" s="1">
        <v>1</v>
      </c>
      <c r="E177" s="115">
        <v>20</v>
      </c>
    </row>
    <row r="178" spans="1:5" s="65" customFormat="1" ht="18.75" customHeight="1" x14ac:dyDescent="0.35">
      <c r="A178" s="1"/>
      <c r="B178" s="32" t="s">
        <v>58</v>
      </c>
      <c r="C178" s="31" t="s">
        <v>676</v>
      </c>
      <c r="D178" s="31">
        <v>2</v>
      </c>
      <c r="E178" s="122">
        <v>5</v>
      </c>
    </row>
    <row r="179" spans="1:5" s="65" customFormat="1" ht="18.75" customHeight="1" x14ac:dyDescent="0.35">
      <c r="A179" s="1"/>
      <c r="B179" s="32" t="s">
        <v>59</v>
      </c>
      <c r="C179" s="31" t="s">
        <v>676</v>
      </c>
      <c r="D179" s="31">
        <v>1</v>
      </c>
      <c r="E179" s="122">
        <v>12</v>
      </c>
    </row>
    <row r="180" spans="1:5" s="65" customFormat="1" ht="18.75" customHeight="1" x14ac:dyDescent="0.35">
      <c r="A180" s="1"/>
      <c r="B180" s="32" t="s">
        <v>57</v>
      </c>
      <c r="C180" s="31" t="s">
        <v>735</v>
      </c>
      <c r="D180" s="31">
        <v>40</v>
      </c>
      <c r="E180" s="122">
        <v>4.8</v>
      </c>
    </row>
    <row r="181" spans="1:5" s="65" customFormat="1" ht="19.5" customHeight="1" x14ac:dyDescent="0.35">
      <c r="A181" s="532">
        <v>6</v>
      </c>
      <c r="B181" s="19" t="s">
        <v>61</v>
      </c>
      <c r="C181" s="532"/>
      <c r="D181" s="532"/>
      <c r="E181" s="539">
        <v>212.4</v>
      </c>
    </row>
    <row r="182" spans="1:5" s="555" customFormat="1" ht="22.5" customHeight="1" x14ac:dyDescent="0.35">
      <c r="A182" s="31"/>
      <c r="B182" s="32" t="s">
        <v>63</v>
      </c>
      <c r="C182" s="31" t="s">
        <v>654</v>
      </c>
      <c r="D182" s="31">
        <v>7080</v>
      </c>
      <c r="E182" s="122">
        <v>212.4</v>
      </c>
    </row>
    <row r="183" spans="1:5" s="65" customFormat="1" ht="18.75" customHeight="1" x14ac:dyDescent="0.35">
      <c r="A183" s="532">
        <v>7</v>
      </c>
      <c r="B183" s="19" t="s">
        <v>66</v>
      </c>
      <c r="C183" s="532"/>
      <c r="D183" s="532"/>
      <c r="E183" s="539">
        <f>SUM(E184:E185)</f>
        <v>236</v>
      </c>
    </row>
    <row r="184" spans="1:5" s="64" customFormat="1" ht="18.75" customHeight="1" x14ac:dyDescent="0.35">
      <c r="A184" s="1"/>
      <c r="B184" s="18" t="s">
        <v>75</v>
      </c>
      <c r="C184" s="1" t="s">
        <v>800</v>
      </c>
      <c r="D184" s="1">
        <v>10</v>
      </c>
      <c r="E184" s="115">
        <v>50</v>
      </c>
    </row>
    <row r="185" spans="1:5" s="65" customFormat="1" ht="19.5" customHeight="1" x14ac:dyDescent="0.35">
      <c r="A185" s="1"/>
      <c r="B185" s="18" t="s">
        <v>67</v>
      </c>
      <c r="C185" s="1" t="s">
        <v>791</v>
      </c>
      <c r="D185" s="1">
        <v>186</v>
      </c>
      <c r="E185" s="115">
        <v>186</v>
      </c>
    </row>
    <row r="186" spans="1:5" s="3" customFormat="1" ht="18.649999999999999" customHeight="1" x14ac:dyDescent="0.35">
      <c r="A186" s="534" t="s">
        <v>44</v>
      </c>
      <c r="B186" s="16" t="s">
        <v>78</v>
      </c>
      <c r="C186" s="17"/>
      <c r="D186" s="17"/>
      <c r="E186" s="480">
        <f>E187+E193+E198+E200+E212+E231+E233</f>
        <v>3050.3999999999996</v>
      </c>
    </row>
    <row r="187" spans="1:5" s="40" customFormat="1" ht="18.649999999999999" customHeight="1" x14ac:dyDescent="0.35">
      <c r="A187" s="534">
        <v>1</v>
      </c>
      <c r="B187" s="38" t="s">
        <v>13</v>
      </c>
      <c r="C187" s="540"/>
      <c r="D187" s="540"/>
      <c r="E187" s="123">
        <f>SUM(E188:E189)</f>
        <v>514</v>
      </c>
    </row>
    <row r="188" spans="1:5" s="40" customFormat="1" ht="30.75" customHeight="1" x14ac:dyDescent="0.35">
      <c r="A188" s="45" t="s">
        <v>69</v>
      </c>
      <c r="B188" s="32" t="s">
        <v>79</v>
      </c>
      <c r="C188" s="31" t="s">
        <v>767</v>
      </c>
      <c r="D188" s="31">
        <v>2</v>
      </c>
      <c r="E188" s="122">
        <v>200</v>
      </c>
    </row>
    <row r="189" spans="1:5" s="40" customFormat="1" ht="18.649999999999999" customHeight="1" x14ac:dyDescent="0.35">
      <c r="A189" s="45" t="s">
        <v>69</v>
      </c>
      <c r="B189" s="32" t="s">
        <v>21</v>
      </c>
      <c r="C189" s="31"/>
      <c r="D189" s="31"/>
      <c r="E189" s="122">
        <f>SUM(E190:E192)</f>
        <v>314</v>
      </c>
    </row>
    <row r="190" spans="1:5" s="40" customFormat="1" ht="18.649999999999999" customHeight="1" x14ac:dyDescent="0.35">
      <c r="A190" s="534"/>
      <c r="B190" s="50" t="s">
        <v>23</v>
      </c>
      <c r="C190" s="47" t="s">
        <v>767</v>
      </c>
      <c r="D190" s="47">
        <v>13</v>
      </c>
      <c r="E190" s="124">
        <v>130</v>
      </c>
    </row>
    <row r="191" spans="1:5" s="40" customFormat="1" ht="18.649999999999999" customHeight="1" x14ac:dyDescent="0.35">
      <c r="A191" s="534"/>
      <c r="B191" s="50" t="s">
        <v>24</v>
      </c>
      <c r="C191" s="47" t="s">
        <v>767</v>
      </c>
      <c r="D191" s="47">
        <v>13</v>
      </c>
      <c r="E191" s="124">
        <v>104</v>
      </c>
    </row>
    <row r="192" spans="1:5" s="40" customFormat="1" ht="18.649999999999999" customHeight="1" x14ac:dyDescent="0.35">
      <c r="A192" s="534"/>
      <c r="B192" s="50" t="s">
        <v>25</v>
      </c>
      <c r="C192" s="47" t="s">
        <v>767</v>
      </c>
      <c r="D192" s="47">
        <v>16</v>
      </c>
      <c r="E192" s="124">
        <v>80</v>
      </c>
    </row>
    <row r="193" spans="1:5" s="40" customFormat="1" ht="18.649999999999999" customHeight="1" x14ac:dyDescent="0.35">
      <c r="A193" s="534">
        <v>2</v>
      </c>
      <c r="B193" s="51" t="s">
        <v>14</v>
      </c>
      <c r="C193" s="534"/>
      <c r="D193" s="534"/>
      <c r="E193" s="123">
        <f>SUM(E194:E197)</f>
        <v>802</v>
      </c>
    </row>
    <row r="194" spans="1:5" s="40" customFormat="1" ht="18.649999999999999" customHeight="1" x14ac:dyDescent="0.35">
      <c r="A194" s="45" t="s">
        <v>69</v>
      </c>
      <c r="B194" s="32" t="s">
        <v>26</v>
      </c>
      <c r="C194" s="31" t="s">
        <v>789</v>
      </c>
      <c r="D194" s="31">
        <v>84</v>
      </c>
      <c r="E194" s="122">
        <v>420</v>
      </c>
    </row>
    <row r="195" spans="1:5" s="40" customFormat="1" ht="18.649999999999999" customHeight="1" x14ac:dyDescent="0.35">
      <c r="A195" s="45" t="s">
        <v>69</v>
      </c>
      <c r="B195" s="32" t="s">
        <v>27</v>
      </c>
      <c r="C195" s="31" t="s">
        <v>789</v>
      </c>
      <c r="D195" s="31">
        <v>3</v>
      </c>
      <c r="E195" s="122">
        <v>30</v>
      </c>
    </row>
    <row r="196" spans="1:5" s="40" customFormat="1" ht="18.649999999999999" customHeight="1" x14ac:dyDescent="0.35">
      <c r="A196" s="45" t="s">
        <v>69</v>
      </c>
      <c r="B196" s="32" t="s">
        <v>28</v>
      </c>
      <c r="C196" s="31" t="s">
        <v>790</v>
      </c>
      <c r="D196" s="31">
        <v>17</v>
      </c>
      <c r="E196" s="122">
        <v>68</v>
      </c>
    </row>
    <row r="197" spans="1:5" s="40" customFormat="1" ht="18.649999999999999" customHeight="1" x14ac:dyDescent="0.35">
      <c r="A197" s="45" t="s">
        <v>69</v>
      </c>
      <c r="B197" s="32" t="s">
        <v>80</v>
      </c>
      <c r="C197" s="31" t="s">
        <v>791</v>
      </c>
      <c r="D197" s="31">
        <v>71</v>
      </c>
      <c r="E197" s="122">
        <v>284</v>
      </c>
    </row>
    <row r="198" spans="1:5" s="40" customFormat="1" ht="18.649999999999999" customHeight="1" x14ac:dyDescent="0.35">
      <c r="A198" s="534">
        <v>3</v>
      </c>
      <c r="B198" s="51" t="s">
        <v>32</v>
      </c>
      <c r="C198" s="534"/>
      <c r="D198" s="534"/>
      <c r="E198" s="123">
        <v>35.1</v>
      </c>
    </row>
    <row r="199" spans="1:5" s="40" customFormat="1" ht="36.75" customHeight="1" x14ac:dyDescent="0.35">
      <c r="A199" s="534"/>
      <c r="B199" s="32" t="s">
        <v>33</v>
      </c>
      <c r="C199" s="31" t="s">
        <v>654</v>
      </c>
      <c r="D199" s="31">
        <v>4680</v>
      </c>
      <c r="E199" s="122">
        <v>35.1</v>
      </c>
    </row>
    <row r="200" spans="1:5" s="40" customFormat="1" ht="27.75" customHeight="1" x14ac:dyDescent="0.35">
      <c r="A200" s="534">
        <v>4</v>
      </c>
      <c r="B200" s="51" t="s">
        <v>36</v>
      </c>
      <c r="C200" s="534"/>
      <c r="D200" s="534"/>
      <c r="E200" s="123">
        <v>679</v>
      </c>
    </row>
    <row r="201" spans="1:5" s="40" customFormat="1" ht="18.649999999999999" customHeight="1" x14ac:dyDescent="0.35">
      <c r="A201" s="534" t="s">
        <v>47</v>
      </c>
      <c r="B201" s="52" t="s">
        <v>37</v>
      </c>
      <c r="C201" s="48"/>
      <c r="D201" s="48"/>
      <c r="E201" s="125">
        <f>SUM(E202:E206)</f>
        <v>398.5</v>
      </c>
    </row>
    <row r="202" spans="1:5" s="40" customFormat="1" ht="18.649999999999999" customHeight="1" x14ac:dyDescent="0.35">
      <c r="A202" s="45" t="s">
        <v>69</v>
      </c>
      <c r="B202" s="32" t="s">
        <v>38</v>
      </c>
      <c r="C202" s="31" t="s">
        <v>654</v>
      </c>
      <c r="D202" s="31">
        <v>650</v>
      </c>
      <c r="E202" s="122">
        <v>338</v>
      </c>
    </row>
    <row r="203" spans="1:5" s="40" customFormat="1" ht="18.649999999999999" customHeight="1" x14ac:dyDescent="0.35">
      <c r="A203" s="45" t="s">
        <v>69</v>
      </c>
      <c r="B203" s="32" t="s">
        <v>39</v>
      </c>
      <c r="C203" s="31" t="s">
        <v>654</v>
      </c>
      <c r="D203" s="31">
        <v>430</v>
      </c>
      <c r="E203" s="122">
        <v>21.5</v>
      </c>
    </row>
    <row r="204" spans="1:5" s="40" customFormat="1" ht="37.5" customHeight="1" x14ac:dyDescent="0.35">
      <c r="A204" s="45" t="s">
        <v>69</v>
      </c>
      <c r="B204" s="18" t="s">
        <v>818</v>
      </c>
      <c r="C204" s="31" t="s">
        <v>717</v>
      </c>
      <c r="D204" s="31">
        <v>5</v>
      </c>
      <c r="E204" s="122">
        <v>30</v>
      </c>
    </row>
    <row r="205" spans="1:5" s="40" customFormat="1" ht="18.649999999999999" customHeight="1" x14ac:dyDescent="0.35">
      <c r="A205" s="45" t="s">
        <v>69</v>
      </c>
      <c r="B205" s="32" t="s">
        <v>41</v>
      </c>
      <c r="C205" s="31" t="s">
        <v>735</v>
      </c>
      <c r="D205" s="31">
        <v>40</v>
      </c>
      <c r="E205" s="122">
        <v>4.8</v>
      </c>
    </row>
    <row r="206" spans="1:5" s="40" customFormat="1" ht="18.649999999999999" customHeight="1" x14ac:dyDescent="0.35">
      <c r="A206" s="45" t="s">
        <v>69</v>
      </c>
      <c r="B206" s="32" t="s">
        <v>42</v>
      </c>
      <c r="C206" s="31" t="s">
        <v>793</v>
      </c>
      <c r="D206" s="31">
        <v>6</v>
      </c>
      <c r="E206" s="122">
        <v>4.2</v>
      </c>
    </row>
    <row r="207" spans="1:5" s="40" customFormat="1" ht="18.649999999999999" customHeight="1" x14ac:dyDescent="0.35">
      <c r="A207" s="534" t="s">
        <v>49</v>
      </c>
      <c r="B207" s="52" t="s">
        <v>43</v>
      </c>
      <c r="C207" s="48"/>
      <c r="D207" s="48"/>
      <c r="E207" s="125">
        <f>SUM(E208:E211)</f>
        <v>280.5</v>
      </c>
    </row>
    <row r="208" spans="1:5" s="40" customFormat="1" ht="18.649999999999999" customHeight="1" x14ac:dyDescent="0.35">
      <c r="A208" s="45" t="s">
        <v>69</v>
      </c>
      <c r="B208" s="32" t="s">
        <v>38</v>
      </c>
      <c r="C208" s="31" t="s">
        <v>654</v>
      </c>
      <c r="D208" s="31">
        <v>390</v>
      </c>
      <c r="E208" s="122">
        <v>195</v>
      </c>
    </row>
    <row r="209" spans="1:5" s="40" customFormat="1" ht="18.649999999999999" customHeight="1" x14ac:dyDescent="0.35">
      <c r="A209" s="45" t="s">
        <v>69</v>
      </c>
      <c r="B209" s="32" t="s">
        <v>39</v>
      </c>
      <c r="C209" s="31" t="s">
        <v>654</v>
      </c>
      <c r="D209" s="31">
        <v>630</v>
      </c>
      <c r="E209" s="122">
        <v>31.5</v>
      </c>
    </row>
    <row r="210" spans="1:5" s="40" customFormat="1" ht="36.75" customHeight="1" x14ac:dyDescent="0.35">
      <c r="A210" s="45" t="s">
        <v>69</v>
      </c>
      <c r="B210" s="18" t="s">
        <v>818</v>
      </c>
      <c r="C210" s="31" t="s">
        <v>717</v>
      </c>
      <c r="D210" s="31">
        <v>8</v>
      </c>
      <c r="E210" s="122">
        <v>48</v>
      </c>
    </row>
    <row r="211" spans="1:5" s="40" customFormat="1" ht="18.649999999999999" customHeight="1" x14ac:dyDescent="0.35">
      <c r="A211" s="45" t="s">
        <v>69</v>
      </c>
      <c r="B211" s="32" t="s">
        <v>42</v>
      </c>
      <c r="C211" s="31" t="s">
        <v>793</v>
      </c>
      <c r="D211" s="31">
        <v>12</v>
      </c>
      <c r="E211" s="122">
        <v>6</v>
      </c>
    </row>
    <row r="212" spans="1:5" s="40" customFormat="1" ht="19.5" customHeight="1" x14ac:dyDescent="0.35">
      <c r="A212" s="534">
        <v>5</v>
      </c>
      <c r="B212" s="51" t="s">
        <v>45</v>
      </c>
      <c r="C212" s="534"/>
      <c r="D212" s="534"/>
      <c r="E212" s="132">
        <f>E213+E225</f>
        <v>914.6</v>
      </c>
    </row>
    <row r="213" spans="1:5" s="40" customFormat="1" ht="18.649999999999999" customHeight="1" x14ac:dyDescent="0.35">
      <c r="A213" s="534" t="s">
        <v>47</v>
      </c>
      <c r="B213" s="52" t="s">
        <v>46</v>
      </c>
      <c r="C213" s="48"/>
      <c r="D213" s="48"/>
      <c r="E213" s="133">
        <f>SUM(E214:E224)</f>
        <v>864</v>
      </c>
    </row>
    <row r="214" spans="1:5" s="40" customFormat="1" ht="18.649999999999999" customHeight="1" x14ac:dyDescent="0.35">
      <c r="A214" s="45" t="s">
        <v>69</v>
      </c>
      <c r="B214" s="32" t="s">
        <v>81</v>
      </c>
      <c r="C214" s="31"/>
      <c r="D214" s="31">
        <v>1</v>
      </c>
      <c r="E214" s="122">
        <v>50</v>
      </c>
    </row>
    <row r="215" spans="1:5" s="40" customFormat="1" ht="21.75" customHeight="1" x14ac:dyDescent="0.35">
      <c r="A215" s="45" t="s">
        <v>69</v>
      </c>
      <c r="B215" s="32" t="s">
        <v>82</v>
      </c>
      <c r="C215" s="31" t="s">
        <v>767</v>
      </c>
      <c r="D215" s="31">
        <v>1</v>
      </c>
      <c r="E215" s="122">
        <v>700</v>
      </c>
    </row>
    <row r="216" spans="1:5" s="40" customFormat="1" ht="18.649999999999999" customHeight="1" x14ac:dyDescent="0.35">
      <c r="A216" s="45" t="s">
        <v>69</v>
      </c>
      <c r="B216" s="32" t="s">
        <v>83</v>
      </c>
      <c r="C216" s="31" t="s">
        <v>654</v>
      </c>
      <c r="D216" s="31">
        <v>70</v>
      </c>
      <c r="E216" s="122">
        <v>28</v>
      </c>
    </row>
    <row r="217" spans="1:5" s="40" customFormat="1" ht="18.649999999999999" customHeight="1" x14ac:dyDescent="0.35">
      <c r="A217" s="45" t="s">
        <v>69</v>
      </c>
      <c r="B217" s="32" t="s">
        <v>84</v>
      </c>
      <c r="C217" s="31" t="s">
        <v>767</v>
      </c>
      <c r="D217" s="31">
        <v>1</v>
      </c>
      <c r="E217" s="122">
        <v>20</v>
      </c>
    </row>
    <row r="218" spans="1:5" s="40" customFormat="1" ht="18.649999999999999" customHeight="1" x14ac:dyDescent="0.35">
      <c r="A218" s="45" t="s">
        <v>69</v>
      </c>
      <c r="B218" s="32" t="s">
        <v>85</v>
      </c>
      <c r="C218" s="31" t="s">
        <v>767</v>
      </c>
      <c r="D218" s="31">
        <v>1</v>
      </c>
      <c r="E218" s="122">
        <v>10</v>
      </c>
    </row>
    <row r="219" spans="1:5" s="40" customFormat="1" ht="18.649999999999999" customHeight="1" x14ac:dyDescent="0.35">
      <c r="A219" s="45" t="s">
        <v>69</v>
      </c>
      <c r="B219" s="32" t="s">
        <v>86</v>
      </c>
      <c r="C219" s="31" t="s">
        <v>681</v>
      </c>
      <c r="D219" s="31">
        <v>1</v>
      </c>
      <c r="E219" s="122">
        <v>3</v>
      </c>
    </row>
    <row r="220" spans="1:5" s="40" customFormat="1" ht="29.25" customHeight="1" x14ac:dyDescent="0.35">
      <c r="A220" s="45" t="s">
        <v>69</v>
      </c>
      <c r="B220" s="32" t="s">
        <v>87</v>
      </c>
      <c r="C220" s="31" t="s">
        <v>676</v>
      </c>
      <c r="D220" s="31">
        <v>1</v>
      </c>
      <c r="E220" s="122">
        <v>15</v>
      </c>
    </row>
    <row r="221" spans="1:5" s="40" customFormat="1" ht="18.649999999999999" customHeight="1" x14ac:dyDescent="0.35">
      <c r="A221" s="45" t="s">
        <v>69</v>
      </c>
      <c r="B221" s="32" t="s">
        <v>51</v>
      </c>
      <c r="C221" s="31" t="s">
        <v>676</v>
      </c>
      <c r="D221" s="31">
        <v>1</v>
      </c>
      <c r="E221" s="122">
        <v>10</v>
      </c>
    </row>
    <row r="222" spans="1:5" s="40" customFormat="1" ht="18.649999999999999" customHeight="1" x14ac:dyDescent="0.35">
      <c r="A222" s="45" t="s">
        <v>69</v>
      </c>
      <c r="B222" s="32" t="s">
        <v>52</v>
      </c>
      <c r="C222" s="31" t="s">
        <v>683</v>
      </c>
      <c r="D222" s="31">
        <v>1</v>
      </c>
      <c r="E222" s="122">
        <v>2</v>
      </c>
    </row>
    <row r="223" spans="1:5" s="40" customFormat="1" ht="18.649999999999999" customHeight="1" x14ac:dyDescent="0.35">
      <c r="A223" s="45" t="s">
        <v>69</v>
      </c>
      <c r="B223" s="53" t="s">
        <v>54</v>
      </c>
      <c r="C223" s="389" t="s">
        <v>683</v>
      </c>
      <c r="D223" s="31">
        <v>3</v>
      </c>
      <c r="E223" s="122">
        <v>6</v>
      </c>
    </row>
    <row r="224" spans="1:5" s="40" customFormat="1" ht="21" customHeight="1" x14ac:dyDescent="0.35">
      <c r="A224" s="45" t="s">
        <v>69</v>
      </c>
      <c r="B224" s="32" t="s">
        <v>88</v>
      </c>
      <c r="C224" s="31" t="s">
        <v>683</v>
      </c>
      <c r="D224" s="31">
        <v>20</v>
      </c>
      <c r="E224" s="122">
        <v>20</v>
      </c>
    </row>
    <row r="225" spans="1:5" s="40" customFormat="1" ht="18.649999999999999" customHeight="1" x14ac:dyDescent="0.35">
      <c r="A225" s="534" t="s">
        <v>49</v>
      </c>
      <c r="B225" s="54" t="s">
        <v>56</v>
      </c>
      <c r="C225" s="473"/>
      <c r="D225" s="48"/>
      <c r="E225" s="125">
        <f>SUM(E226:E230)</f>
        <v>50.6</v>
      </c>
    </row>
    <row r="226" spans="1:5" s="40" customFormat="1" ht="18.649999999999999" customHeight="1" x14ac:dyDescent="0.35">
      <c r="A226" s="45" t="s">
        <v>69</v>
      </c>
      <c r="B226" s="32" t="s">
        <v>89</v>
      </c>
      <c r="C226" s="31" t="s">
        <v>795</v>
      </c>
      <c r="D226" s="31">
        <v>1</v>
      </c>
      <c r="E226" s="122">
        <v>20</v>
      </c>
    </row>
    <row r="227" spans="1:5" s="40" customFormat="1" ht="18.649999999999999" customHeight="1" x14ac:dyDescent="0.35">
      <c r="A227" s="45" t="s">
        <v>69</v>
      </c>
      <c r="B227" s="32" t="s">
        <v>90</v>
      </c>
      <c r="C227" s="31" t="s">
        <v>796</v>
      </c>
      <c r="D227" s="31">
        <v>1</v>
      </c>
      <c r="E227" s="122">
        <v>10</v>
      </c>
    </row>
    <row r="228" spans="1:5" s="40" customFormat="1" ht="18.649999999999999" customHeight="1" x14ac:dyDescent="0.35">
      <c r="A228" s="45" t="s">
        <v>69</v>
      </c>
      <c r="B228" s="32" t="s">
        <v>58</v>
      </c>
      <c r="C228" s="31" t="s">
        <v>676</v>
      </c>
      <c r="D228" s="31">
        <v>2</v>
      </c>
      <c r="E228" s="122">
        <v>5</v>
      </c>
    </row>
    <row r="229" spans="1:5" s="40" customFormat="1" ht="18.649999999999999" customHeight="1" x14ac:dyDescent="0.35">
      <c r="A229" s="45" t="s">
        <v>69</v>
      </c>
      <c r="B229" s="32" t="s">
        <v>59</v>
      </c>
      <c r="C229" s="31" t="s">
        <v>676</v>
      </c>
      <c r="D229" s="31">
        <v>1</v>
      </c>
      <c r="E229" s="122">
        <v>12</v>
      </c>
    </row>
    <row r="230" spans="1:5" s="40" customFormat="1" ht="18.649999999999999" customHeight="1" x14ac:dyDescent="0.35">
      <c r="A230" s="45" t="s">
        <v>69</v>
      </c>
      <c r="B230" s="32" t="s">
        <v>57</v>
      </c>
      <c r="C230" s="31" t="s">
        <v>735</v>
      </c>
      <c r="D230" s="31">
        <v>30</v>
      </c>
      <c r="E230" s="122">
        <v>3.5999999999999996</v>
      </c>
    </row>
    <row r="231" spans="1:5" s="40" customFormat="1" ht="18.649999999999999" customHeight="1" x14ac:dyDescent="0.35">
      <c r="A231" s="534">
        <v>6</v>
      </c>
      <c r="B231" s="51" t="s">
        <v>61</v>
      </c>
      <c r="C231" s="534"/>
      <c r="D231" s="534"/>
      <c r="E231" s="123">
        <v>14.7</v>
      </c>
    </row>
    <row r="232" spans="1:5" s="40" customFormat="1" ht="18.649999999999999" customHeight="1" x14ac:dyDescent="0.35">
      <c r="A232" s="534"/>
      <c r="B232" s="32" t="s">
        <v>63</v>
      </c>
      <c r="C232" s="31" t="s">
        <v>654</v>
      </c>
      <c r="D232" s="31">
        <v>490</v>
      </c>
      <c r="E232" s="122">
        <v>14.7</v>
      </c>
    </row>
    <row r="233" spans="1:5" s="40" customFormat="1" ht="18.649999999999999" customHeight="1" x14ac:dyDescent="0.35">
      <c r="A233" s="31">
        <v>7</v>
      </c>
      <c r="B233" s="51" t="s">
        <v>66</v>
      </c>
      <c r="C233" s="534"/>
      <c r="D233" s="534"/>
      <c r="E233" s="123">
        <f>SUM(E234:E234)</f>
        <v>91</v>
      </c>
    </row>
    <row r="234" spans="1:5" s="40" customFormat="1" ht="26.25" customHeight="1" x14ac:dyDescent="0.35">
      <c r="A234" s="37" t="s">
        <v>69</v>
      </c>
      <c r="B234" s="32" t="s">
        <v>67</v>
      </c>
      <c r="C234" s="31" t="s">
        <v>791</v>
      </c>
      <c r="D234" s="31">
        <v>91</v>
      </c>
      <c r="E234" s="122">
        <v>91</v>
      </c>
    </row>
    <row r="235" spans="1:5" s="40" customFormat="1" ht="18.649999999999999" customHeight="1" x14ac:dyDescent="0.35">
      <c r="A235" s="15" t="s">
        <v>60</v>
      </c>
      <c r="B235" s="16" t="s">
        <v>243</v>
      </c>
      <c r="C235" s="15"/>
      <c r="D235" s="15"/>
      <c r="E235" s="145">
        <f>E236+E242+E247+E249+E264+E284+E286</f>
        <v>4324.93</v>
      </c>
    </row>
    <row r="236" spans="1:5" s="40" customFormat="1" ht="18.649999999999999" customHeight="1" x14ac:dyDescent="0.35">
      <c r="A236" s="532">
        <v>1</v>
      </c>
      <c r="B236" s="10" t="s">
        <v>13</v>
      </c>
      <c r="C236" s="532"/>
      <c r="D236" s="532"/>
      <c r="E236" s="62">
        <f>SUM(E237:E238)</f>
        <v>761</v>
      </c>
    </row>
    <row r="237" spans="1:5" s="40" customFormat="1" ht="18.649999999999999" customHeight="1" x14ac:dyDescent="0.35">
      <c r="A237" s="136" t="s">
        <v>69</v>
      </c>
      <c r="B237" s="18" t="s">
        <v>71</v>
      </c>
      <c r="C237" s="1" t="s">
        <v>767</v>
      </c>
      <c r="D237" s="1">
        <v>1</v>
      </c>
      <c r="E237" s="61">
        <v>100</v>
      </c>
    </row>
    <row r="238" spans="1:5" s="40" customFormat="1" ht="18.649999999999999" customHeight="1" x14ac:dyDescent="0.35">
      <c r="A238" s="136" t="s">
        <v>69</v>
      </c>
      <c r="B238" s="18" t="s">
        <v>21</v>
      </c>
      <c r="C238" s="1"/>
      <c r="D238" s="1"/>
      <c r="E238" s="61">
        <f>SUM(E239:E241)</f>
        <v>661</v>
      </c>
    </row>
    <row r="239" spans="1:5" s="40" customFormat="1" ht="18.649999999999999" customHeight="1" x14ac:dyDescent="0.35">
      <c r="A239" s="29"/>
      <c r="B239" s="30" t="s">
        <v>23</v>
      </c>
      <c r="C239" s="29" t="s">
        <v>767</v>
      </c>
      <c r="D239" s="29">
        <v>21</v>
      </c>
      <c r="E239" s="141">
        <f>D239*10</f>
        <v>210</v>
      </c>
    </row>
    <row r="240" spans="1:5" s="3" customFormat="1" ht="18.649999999999999" customHeight="1" x14ac:dyDescent="0.35">
      <c r="A240" s="29"/>
      <c r="B240" s="30" t="s">
        <v>24</v>
      </c>
      <c r="C240" s="29" t="s">
        <v>767</v>
      </c>
      <c r="D240" s="29">
        <v>42</v>
      </c>
      <c r="E240" s="141">
        <f>D240*8</f>
        <v>336</v>
      </c>
    </row>
    <row r="241" spans="1:5" s="3" customFormat="1" ht="18.649999999999999" customHeight="1" x14ac:dyDescent="0.35">
      <c r="A241" s="29"/>
      <c r="B241" s="30" t="s">
        <v>25</v>
      </c>
      <c r="C241" s="29" t="s">
        <v>767</v>
      </c>
      <c r="D241" s="29">
        <v>23</v>
      </c>
      <c r="E241" s="141">
        <f>D241*5</f>
        <v>115</v>
      </c>
    </row>
    <row r="242" spans="1:5" ht="25" customHeight="1" x14ac:dyDescent="0.35">
      <c r="A242" s="532">
        <v>2</v>
      </c>
      <c r="B242" s="19" t="s">
        <v>14</v>
      </c>
      <c r="C242" s="532"/>
      <c r="D242" s="532"/>
      <c r="E242" s="62">
        <f>SUM(E243:E246)</f>
        <v>526</v>
      </c>
    </row>
    <row r="243" spans="1:5" ht="25" customHeight="1" x14ac:dyDescent="0.35">
      <c r="A243" s="31"/>
      <c r="B243" s="32" t="s">
        <v>26</v>
      </c>
      <c r="C243" s="31" t="s">
        <v>789</v>
      </c>
      <c r="D243" s="31">
        <v>37</v>
      </c>
      <c r="E243" s="142">
        <f>D243*10</f>
        <v>370</v>
      </c>
    </row>
    <row r="244" spans="1:5" ht="25" customHeight="1" x14ac:dyDescent="0.35">
      <c r="A244" s="1"/>
      <c r="B244" s="32" t="s">
        <v>295</v>
      </c>
      <c r="C244" s="31" t="s">
        <v>790</v>
      </c>
      <c r="D244" s="31">
        <v>5</v>
      </c>
      <c r="E244" s="142">
        <f>D244*4</f>
        <v>20</v>
      </c>
    </row>
    <row r="245" spans="1:5" ht="25" customHeight="1" x14ac:dyDescent="0.35">
      <c r="A245" s="1"/>
      <c r="B245" s="32" t="s">
        <v>72</v>
      </c>
      <c r="C245" s="31" t="s">
        <v>790</v>
      </c>
      <c r="D245" s="31">
        <v>29</v>
      </c>
      <c r="E245" s="142">
        <f>D245*4</f>
        <v>116</v>
      </c>
    </row>
    <row r="246" spans="1:5" ht="25" customHeight="1" x14ac:dyDescent="0.35">
      <c r="A246" s="31"/>
      <c r="B246" s="32" t="s">
        <v>27</v>
      </c>
      <c r="C246" s="31" t="s">
        <v>789</v>
      </c>
      <c r="D246" s="31">
        <v>2</v>
      </c>
      <c r="E246" s="142">
        <f>D246*10</f>
        <v>20</v>
      </c>
    </row>
    <row r="247" spans="1:5" ht="15.75" customHeight="1" x14ac:dyDescent="0.35">
      <c r="A247" s="532">
        <v>3</v>
      </c>
      <c r="B247" s="19" t="s">
        <v>32</v>
      </c>
      <c r="C247" s="532"/>
      <c r="D247" s="532"/>
      <c r="E247" s="22">
        <f>SUM(E248:E248)</f>
        <v>107.55</v>
      </c>
    </row>
    <row r="248" spans="1:5" ht="33" customHeight="1" x14ac:dyDescent="0.35">
      <c r="A248" s="31"/>
      <c r="B248" s="32" t="s">
        <v>294</v>
      </c>
      <c r="C248" s="31" t="s">
        <v>654</v>
      </c>
      <c r="D248" s="31">
        <v>14340</v>
      </c>
      <c r="E248" s="56">
        <f>D248*5*0.0015</f>
        <v>107.55</v>
      </c>
    </row>
    <row r="249" spans="1:5" ht="25" customHeight="1" x14ac:dyDescent="0.35">
      <c r="A249" s="532">
        <v>4</v>
      </c>
      <c r="B249" s="19" t="s">
        <v>36</v>
      </c>
      <c r="C249" s="532"/>
      <c r="D249" s="532"/>
      <c r="E249" s="22">
        <f>E250+E257</f>
        <v>1781.08</v>
      </c>
    </row>
    <row r="250" spans="1:5" ht="25" customHeight="1" x14ac:dyDescent="0.35">
      <c r="A250" s="20" t="s">
        <v>22</v>
      </c>
      <c r="B250" s="21" t="s">
        <v>37</v>
      </c>
      <c r="C250" s="20"/>
      <c r="D250" s="20"/>
      <c r="E250" s="58">
        <f>SUM(E251:E256)</f>
        <v>368.7</v>
      </c>
    </row>
    <row r="251" spans="1:5" ht="25" customHeight="1" x14ac:dyDescent="0.35">
      <c r="A251" s="1"/>
      <c r="B251" s="18" t="s">
        <v>38</v>
      </c>
      <c r="C251" s="1" t="s">
        <v>654</v>
      </c>
      <c r="D251" s="1">
        <v>300</v>
      </c>
      <c r="E251" s="61">
        <f>D251*0.52</f>
        <v>156</v>
      </c>
    </row>
    <row r="252" spans="1:5" ht="25" customHeight="1" x14ac:dyDescent="0.35">
      <c r="A252" s="1"/>
      <c r="B252" s="18" t="s">
        <v>39</v>
      </c>
      <c r="C252" s="1" t="s">
        <v>654</v>
      </c>
      <c r="D252" s="1">
        <v>2600</v>
      </c>
      <c r="E252" s="61">
        <f>D252*0.05</f>
        <v>130</v>
      </c>
    </row>
    <row r="253" spans="1:5" ht="44.25" customHeight="1" x14ac:dyDescent="0.35">
      <c r="A253" s="1"/>
      <c r="B253" s="18" t="s">
        <v>818</v>
      </c>
      <c r="C253" s="1" t="s">
        <v>717</v>
      </c>
      <c r="D253" s="1">
        <v>10</v>
      </c>
      <c r="E253" s="61">
        <f>D253*6</f>
        <v>60</v>
      </c>
    </row>
    <row r="254" spans="1:5" ht="25" customHeight="1" x14ac:dyDescent="0.35">
      <c r="A254" s="1"/>
      <c r="B254" s="18" t="s">
        <v>41</v>
      </c>
      <c r="C254" s="1" t="s">
        <v>735</v>
      </c>
      <c r="D254" s="1">
        <v>80</v>
      </c>
      <c r="E254" s="139">
        <f>D254*0.12</f>
        <v>9.6</v>
      </c>
    </row>
    <row r="255" spans="1:5" ht="25" customHeight="1" x14ac:dyDescent="0.35">
      <c r="A255" s="31"/>
      <c r="B255" s="32" t="s">
        <v>15</v>
      </c>
      <c r="C255" s="31" t="s">
        <v>792</v>
      </c>
      <c r="D255" s="31">
        <v>94</v>
      </c>
      <c r="E255" s="140">
        <f>D255*0.05</f>
        <v>4.7</v>
      </c>
    </row>
    <row r="256" spans="1:5" ht="25" customHeight="1" x14ac:dyDescent="0.35">
      <c r="A256" s="31"/>
      <c r="B256" s="32" t="s">
        <v>42</v>
      </c>
      <c r="C256" s="31" t="s">
        <v>793</v>
      </c>
      <c r="D256" s="31">
        <v>12</v>
      </c>
      <c r="E256" s="140">
        <f>D256*0.7</f>
        <v>8.3999999999999986</v>
      </c>
    </row>
    <row r="257" spans="1:5" ht="25" customHeight="1" x14ac:dyDescent="0.35">
      <c r="A257" s="20" t="s">
        <v>22</v>
      </c>
      <c r="B257" s="21" t="s">
        <v>43</v>
      </c>
      <c r="C257" s="20"/>
      <c r="D257" s="20"/>
      <c r="E257" s="58">
        <f>SUM(E258:E263)</f>
        <v>1412.3799999999999</v>
      </c>
    </row>
    <row r="258" spans="1:5" ht="25" customHeight="1" x14ac:dyDescent="0.35">
      <c r="A258" s="1"/>
      <c r="B258" s="18" t="s">
        <v>38</v>
      </c>
      <c r="C258" s="1" t="s">
        <v>654</v>
      </c>
      <c r="D258" s="1">
        <v>2450</v>
      </c>
      <c r="E258" s="61">
        <f>D258*0.5</f>
        <v>1225</v>
      </c>
    </row>
    <row r="259" spans="1:5" ht="25" customHeight="1" x14ac:dyDescent="0.35">
      <c r="A259" s="1"/>
      <c r="B259" s="18" t="s">
        <v>39</v>
      </c>
      <c r="C259" s="1" t="s">
        <v>654</v>
      </c>
      <c r="D259" s="1">
        <v>2450</v>
      </c>
      <c r="E259" s="139">
        <f>D259*0.05</f>
        <v>122.5</v>
      </c>
    </row>
    <row r="260" spans="1:5" ht="38.25" customHeight="1" x14ac:dyDescent="0.35">
      <c r="A260" s="1"/>
      <c r="B260" s="18" t="s">
        <v>818</v>
      </c>
      <c r="C260" s="1" t="s">
        <v>717</v>
      </c>
      <c r="D260" s="1">
        <v>8</v>
      </c>
      <c r="E260" s="61">
        <f>D260*6</f>
        <v>48</v>
      </c>
    </row>
    <row r="261" spans="1:5" ht="25" customHeight="1" x14ac:dyDescent="0.35">
      <c r="A261" s="1"/>
      <c r="B261" s="18" t="s">
        <v>41</v>
      </c>
      <c r="C261" s="1" t="s">
        <v>735</v>
      </c>
      <c r="D261" s="1">
        <v>80</v>
      </c>
      <c r="E261" s="139">
        <f>D261*0.12</f>
        <v>9.6</v>
      </c>
    </row>
    <row r="262" spans="1:5" ht="25" customHeight="1" x14ac:dyDescent="0.35">
      <c r="A262" s="31"/>
      <c r="B262" s="32" t="s">
        <v>15</v>
      </c>
      <c r="C262" s="31" t="s">
        <v>792</v>
      </c>
      <c r="D262" s="31">
        <v>57</v>
      </c>
      <c r="E262" s="140">
        <f>D262*0.04</f>
        <v>2.2800000000000002</v>
      </c>
    </row>
    <row r="263" spans="1:5" ht="25" customHeight="1" x14ac:dyDescent="0.35">
      <c r="A263" s="31"/>
      <c r="B263" s="32" t="s">
        <v>42</v>
      </c>
      <c r="C263" s="31" t="s">
        <v>793</v>
      </c>
      <c r="D263" s="31">
        <v>10</v>
      </c>
      <c r="E263" s="142">
        <f>D263*0.5</f>
        <v>5</v>
      </c>
    </row>
    <row r="264" spans="1:5" ht="25" customHeight="1" x14ac:dyDescent="0.35">
      <c r="A264" s="532">
        <v>5</v>
      </c>
      <c r="B264" s="19" t="s">
        <v>45</v>
      </c>
      <c r="C264" s="532"/>
      <c r="D264" s="532"/>
      <c r="E264" s="22">
        <f>E265+E278</f>
        <v>927.8</v>
      </c>
    </row>
    <row r="265" spans="1:5" ht="25" customHeight="1" x14ac:dyDescent="0.35">
      <c r="A265" s="143" t="s">
        <v>69</v>
      </c>
      <c r="B265" s="21" t="s">
        <v>46</v>
      </c>
      <c r="C265" s="20"/>
      <c r="D265" s="20"/>
      <c r="E265" s="144">
        <f>SUM(E266:E277)</f>
        <v>876</v>
      </c>
    </row>
    <row r="266" spans="1:5" ht="25" customHeight="1" x14ac:dyDescent="0.35">
      <c r="A266" s="1"/>
      <c r="B266" s="18" t="s">
        <v>81</v>
      </c>
      <c r="C266" s="1"/>
      <c r="D266" s="1">
        <v>1</v>
      </c>
      <c r="E266" s="61">
        <v>50</v>
      </c>
    </row>
    <row r="267" spans="1:5" ht="25" customHeight="1" x14ac:dyDescent="0.35">
      <c r="A267" s="1"/>
      <c r="B267" s="18" t="s">
        <v>82</v>
      </c>
      <c r="C267" s="1" t="s">
        <v>767</v>
      </c>
      <c r="D267" s="1">
        <v>1</v>
      </c>
      <c r="E267" s="61">
        <v>700</v>
      </c>
    </row>
    <row r="268" spans="1:5" ht="25" customHeight="1" x14ac:dyDescent="0.35">
      <c r="A268" s="31"/>
      <c r="B268" s="32" t="s">
        <v>244</v>
      </c>
      <c r="C268" s="31" t="s">
        <v>654</v>
      </c>
      <c r="D268" s="31">
        <v>70</v>
      </c>
      <c r="E268" s="142">
        <f>D268*0.4</f>
        <v>28</v>
      </c>
    </row>
    <row r="269" spans="1:5" ht="25" customHeight="1" x14ac:dyDescent="0.35">
      <c r="A269" s="1"/>
      <c r="B269" s="32" t="s">
        <v>84</v>
      </c>
      <c r="C269" s="31" t="s">
        <v>767</v>
      </c>
      <c r="D269" s="31">
        <v>1</v>
      </c>
      <c r="E269" s="142">
        <v>20</v>
      </c>
    </row>
    <row r="270" spans="1:5" ht="25" customHeight="1" x14ac:dyDescent="0.35">
      <c r="A270" s="1"/>
      <c r="B270" s="32" t="s">
        <v>85</v>
      </c>
      <c r="C270" s="31" t="s">
        <v>767</v>
      </c>
      <c r="D270" s="31">
        <v>1</v>
      </c>
      <c r="E270" s="142">
        <v>10</v>
      </c>
    </row>
    <row r="271" spans="1:5" ht="25" customHeight="1" x14ac:dyDescent="0.35">
      <c r="A271" s="1"/>
      <c r="B271" s="32" t="s">
        <v>86</v>
      </c>
      <c r="C271" s="31" t="s">
        <v>681</v>
      </c>
      <c r="D271" s="31">
        <v>1</v>
      </c>
      <c r="E271" s="142">
        <v>3</v>
      </c>
    </row>
    <row r="272" spans="1:5" ht="46.5" customHeight="1" x14ac:dyDescent="0.35">
      <c r="A272" s="1"/>
      <c r="B272" s="18" t="s">
        <v>87</v>
      </c>
      <c r="C272" s="1" t="s">
        <v>676</v>
      </c>
      <c r="D272" s="1">
        <v>1</v>
      </c>
      <c r="E272" s="61">
        <v>15</v>
      </c>
    </row>
    <row r="273" spans="1:5" ht="25" customHeight="1" x14ac:dyDescent="0.35">
      <c r="A273" s="1"/>
      <c r="B273" s="18" t="s">
        <v>245</v>
      </c>
      <c r="C273" s="1" t="s">
        <v>676</v>
      </c>
      <c r="D273" s="1">
        <v>1</v>
      </c>
      <c r="E273" s="61">
        <v>20</v>
      </c>
    </row>
    <row r="274" spans="1:5" ht="25" customHeight="1" x14ac:dyDescent="0.35">
      <c r="A274" s="1"/>
      <c r="B274" s="18" t="s">
        <v>52</v>
      </c>
      <c r="C274" s="1" t="s">
        <v>798</v>
      </c>
      <c r="D274" s="1">
        <v>1</v>
      </c>
      <c r="E274" s="61">
        <v>2</v>
      </c>
    </row>
    <row r="275" spans="1:5" ht="25" customHeight="1" x14ac:dyDescent="0.35">
      <c r="A275" s="1"/>
      <c r="B275" s="18" t="s">
        <v>53</v>
      </c>
      <c r="C275" s="1" t="s">
        <v>799</v>
      </c>
      <c r="D275" s="1">
        <v>200</v>
      </c>
      <c r="E275" s="61">
        <v>2</v>
      </c>
    </row>
    <row r="276" spans="1:5" ht="25" customHeight="1" x14ac:dyDescent="0.35">
      <c r="A276" s="1"/>
      <c r="B276" s="35" t="s">
        <v>54</v>
      </c>
      <c r="C276" s="420" t="s">
        <v>683</v>
      </c>
      <c r="D276" s="1">
        <v>3</v>
      </c>
      <c r="E276" s="61">
        <v>6</v>
      </c>
    </row>
    <row r="277" spans="1:5" ht="25" customHeight="1" x14ac:dyDescent="0.35">
      <c r="A277" s="1"/>
      <c r="B277" s="35" t="s">
        <v>88</v>
      </c>
      <c r="C277" s="420" t="s">
        <v>683</v>
      </c>
      <c r="D277" s="1">
        <v>40</v>
      </c>
      <c r="E277" s="61">
        <v>20</v>
      </c>
    </row>
    <row r="278" spans="1:5" ht="25" customHeight="1" x14ac:dyDescent="0.35">
      <c r="A278" s="143" t="s">
        <v>69</v>
      </c>
      <c r="B278" s="36" t="s">
        <v>56</v>
      </c>
      <c r="C278" s="472"/>
      <c r="D278" s="20"/>
      <c r="E278" s="58">
        <f>SUM(E279:E283)</f>
        <v>51.8</v>
      </c>
    </row>
    <row r="279" spans="1:5" ht="25" customHeight="1" x14ac:dyDescent="0.35">
      <c r="A279" s="1"/>
      <c r="B279" s="18" t="s">
        <v>89</v>
      </c>
      <c r="C279" s="1" t="s">
        <v>795</v>
      </c>
      <c r="D279" s="1">
        <v>1</v>
      </c>
      <c r="E279" s="61">
        <v>20</v>
      </c>
    </row>
    <row r="280" spans="1:5" ht="25" customHeight="1" x14ac:dyDescent="0.35">
      <c r="A280" s="1"/>
      <c r="B280" s="32" t="s">
        <v>90</v>
      </c>
      <c r="C280" s="31" t="s">
        <v>796</v>
      </c>
      <c r="D280" s="31">
        <v>1</v>
      </c>
      <c r="E280" s="142">
        <v>10</v>
      </c>
    </row>
    <row r="281" spans="1:5" ht="25" customHeight="1" x14ac:dyDescent="0.35">
      <c r="A281" s="1"/>
      <c r="B281" s="32" t="s">
        <v>58</v>
      </c>
      <c r="C281" s="31" t="s">
        <v>676</v>
      </c>
      <c r="D281" s="31">
        <v>2</v>
      </c>
      <c r="E281" s="142">
        <f>D281*2.5</f>
        <v>5</v>
      </c>
    </row>
    <row r="282" spans="1:5" ht="25" customHeight="1" x14ac:dyDescent="0.35">
      <c r="A282" s="1"/>
      <c r="B282" s="32" t="s">
        <v>59</v>
      </c>
      <c r="C282" s="31" t="s">
        <v>676</v>
      </c>
      <c r="D282" s="31">
        <v>1</v>
      </c>
      <c r="E282" s="142">
        <v>12</v>
      </c>
    </row>
    <row r="283" spans="1:5" ht="25" customHeight="1" x14ac:dyDescent="0.35">
      <c r="A283" s="1"/>
      <c r="B283" s="32" t="s">
        <v>57</v>
      </c>
      <c r="C283" s="31" t="s">
        <v>735</v>
      </c>
      <c r="D283" s="31">
        <v>40</v>
      </c>
      <c r="E283" s="56">
        <f>D283*0.12</f>
        <v>4.8</v>
      </c>
    </row>
    <row r="284" spans="1:5" ht="25" customHeight="1" x14ac:dyDescent="0.35">
      <c r="A284" s="532">
        <v>6</v>
      </c>
      <c r="B284" s="19" t="s">
        <v>61</v>
      </c>
      <c r="C284" s="532"/>
      <c r="D284" s="532"/>
      <c r="E284" s="22">
        <f>E285</f>
        <v>109.5</v>
      </c>
    </row>
    <row r="285" spans="1:5" ht="25" customHeight="1" x14ac:dyDescent="0.35">
      <c r="A285" s="1"/>
      <c r="B285" s="18" t="s">
        <v>63</v>
      </c>
      <c r="C285" s="1" t="s">
        <v>654</v>
      </c>
      <c r="D285" s="1">
        <v>3650</v>
      </c>
      <c r="E285" s="57">
        <f>D285*0.03</f>
        <v>109.5</v>
      </c>
    </row>
    <row r="286" spans="1:5" ht="25" customHeight="1" x14ac:dyDescent="0.35">
      <c r="A286" s="532">
        <v>7</v>
      </c>
      <c r="B286" s="19" t="s">
        <v>66</v>
      </c>
      <c r="C286" s="532"/>
      <c r="D286" s="532"/>
      <c r="E286" s="62">
        <f>SUM(E287:E287)</f>
        <v>112</v>
      </c>
    </row>
    <row r="287" spans="1:5" ht="25" customHeight="1" x14ac:dyDescent="0.35">
      <c r="A287" s="1"/>
      <c r="B287" s="18" t="s">
        <v>67</v>
      </c>
      <c r="C287" s="1" t="s">
        <v>791</v>
      </c>
      <c r="D287" s="1">
        <v>112</v>
      </c>
      <c r="E287" s="61">
        <f>D287*1</f>
        <v>112</v>
      </c>
    </row>
    <row r="288" spans="1:5" ht="25" customHeight="1" x14ac:dyDescent="0.35">
      <c r="A288" s="15" t="s">
        <v>64</v>
      </c>
      <c r="B288" s="16" t="s">
        <v>246</v>
      </c>
      <c r="C288" s="15"/>
      <c r="D288" s="15"/>
      <c r="E288" s="127">
        <f>E289+E296+E300+E302+E317+E331+E335</f>
        <v>5473.130000000001</v>
      </c>
    </row>
    <row r="289" spans="1:5" ht="25" customHeight="1" x14ac:dyDescent="0.35">
      <c r="A289" s="75">
        <v>1</v>
      </c>
      <c r="B289" s="76" t="s">
        <v>13</v>
      </c>
      <c r="C289" s="75"/>
      <c r="D289" s="75"/>
      <c r="E289" s="128">
        <f>SUM(E290:E292)</f>
        <v>1038</v>
      </c>
    </row>
    <row r="290" spans="1:5" ht="25" customHeight="1" x14ac:dyDescent="0.35">
      <c r="A290" s="80" t="s">
        <v>69</v>
      </c>
      <c r="B290" s="89" t="s">
        <v>182</v>
      </c>
      <c r="C290" s="474" t="s">
        <v>767</v>
      </c>
      <c r="D290" s="33">
        <v>1</v>
      </c>
      <c r="E290" s="60">
        <v>100</v>
      </c>
    </row>
    <row r="291" spans="1:5" ht="25" customHeight="1" x14ac:dyDescent="0.35">
      <c r="A291" s="80" t="s">
        <v>69</v>
      </c>
      <c r="B291" s="34" t="s">
        <v>71</v>
      </c>
      <c r="C291" s="33" t="s">
        <v>767</v>
      </c>
      <c r="D291" s="33">
        <v>6</v>
      </c>
      <c r="E291" s="60">
        <f>D291*30</f>
        <v>180</v>
      </c>
    </row>
    <row r="292" spans="1:5" ht="25" customHeight="1" x14ac:dyDescent="0.35">
      <c r="A292" s="80" t="s">
        <v>69</v>
      </c>
      <c r="B292" s="34" t="s">
        <v>21</v>
      </c>
      <c r="C292" s="33"/>
      <c r="D292" s="33"/>
      <c r="E292" s="60">
        <f>SUM(E293:E295)</f>
        <v>758</v>
      </c>
    </row>
    <row r="293" spans="1:5" ht="25" customHeight="1" x14ac:dyDescent="0.35">
      <c r="A293" s="90"/>
      <c r="B293" s="91" t="s">
        <v>23</v>
      </c>
      <c r="C293" s="90" t="s">
        <v>767</v>
      </c>
      <c r="D293" s="90">
        <v>25</v>
      </c>
      <c r="E293" s="129">
        <f>D293*10</f>
        <v>250</v>
      </c>
    </row>
    <row r="294" spans="1:5" ht="25" customHeight="1" x14ac:dyDescent="0.35">
      <c r="A294" s="90"/>
      <c r="B294" s="91" t="s">
        <v>24</v>
      </c>
      <c r="C294" s="90" t="s">
        <v>767</v>
      </c>
      <c r="D294" s="90">
        <v>41</v>
      </c>
      <c r="E294" s="129">
        <f>D294*8</f>
        <v>328</v>
      </c>
    </row>
    <row r="295" spans="1:5" ht="25" customHeight="1" x14ac:dyDescent="0.35">
      <c r="A295" s="90"/>
      <c r="B295" s="91" t="s">
        <v>25</v>
      </c>
      <c r="C295" s="90" t="s">
        <v>767</v>
      </c>
      <c r="D295" s="90">
        <v>36</v>
      </c>
      <c r="E295" s="129">
        <f>D295*5</f>
        <v>180</v>
      </c>
    </row>
    <row r="296" spans="1:5" ht="25" customHeight="1" x14ac:dyDescent="0.35">
      <c r="A296" s="75">
        <v>2</v>
      </c>
      <c r="B296" s="79" t="s">
        <v>14</v>
      </c>
      <c r="C296" s="75"/>
      <c r="D296" s="75"/>
      <c r="E296" s="128">
        <f>SUM(E297:E299)</f>
        <v>802</v>
      </c>
    </row>
    <row r="297" spans="1:5" ht="25" customHeight="1" x14ac:dyDescent="0.35">
      <c r="A297" s="33"/>
      <c r="B297" s="34" t="s">
        <v>26</v>
      </c>
      <c r="C297" s="33" t="s">
        <v>789</v>
      </c>
      <c r="D297" s="33">
        <v>57</v>
      </c>
      <c r="E297" s="60">
        <f>D297*10</f>
        <v>570</v>
      </c>
    </row>
    <row r="298" spans="1:5" ht="25" customHeight="1" x14ac:dyDescent="0.35">
      <c r="A298" s="33"/>
      <c r="B298" s="34" t="s">
        <v>184</v>
      </c>
      <c r="C298" s="33" t="s">
        <v>790</v>
      </c>
      <c r="D298" s="33">
        <v>5</v>
      </c>
      <c r="E298" s="60">
        <f>D298*4</f>
        <v>20</v>
      </c>
    </row>
    <row r="299" spans="1:5" ht="25" customHeight="1" x14ac:dyDescent="0.35">
      <c r="A299" s="33"/>
      <c r="B299" s="34" t="s">
        <v>72</v>
      </c>
      <c r="C299" s="33" t="s">
        <v>790</v>
      </c>
      <c r="D299" s="33">
        <v>53</v>
      </c>
      <c r="E299" s="60">
        <f>D299*4</f>
        <v>212</v>
      </c>
    </row>
    <row r="300" spans="1:5" ht="25" customHeight="1" x14ac:dyDescent="0.35">
      <c r="A300" s="75">
        <v>3</v>
      </c>
      <c r="B300" s="79" t="s">
        <v>32</v>
      </c>
      <c r="C300" s="75"/>
      <c r="D300" s="75"/>
      <c r="E300" s="128">
        <f>SUM(E301:E301)</f>
        <v>84.15</v>
      </c>
    </row>
    <row r="301" spans="1:5" ht="36" customHeight="1" x14ac:dyDescent="0.35">
      <c r="A301" s="33"/>
      <c r="B301" s="34" t="s">
        <v>294</v>
      </c>
      <c r="C301" s="33" t="s">
        <v>654</v>
      </c>
      <c r="D301" s="33">
        <v>11220</v>
      </c>
      <c r="E301" s="60">
        <f>D301*5*0.0015</f>
        <v>84.15</v>
      </c>
    </row>
    <row r="302" spans="1:5" ht="25" customHeight="1" x14ac:dyDescent="0.35">
      <c r="A302" s="75">
        <v>4</v>
      </c>
      <c r="B302" s="79" t="s">
        <v>296</v>
      </c>
      <c r="C302" s="75"/>
      <c r="D302" s="75"/>
      <c r="E302" s="128">
        <f>E303+E310</f>
        <v>3227.2799999999997</v>
      </c>
    </row>
    <row r="303" spans="1:5" ht="25" customHeight="1" x14ac:dyDescent="0.35">
      <c r="A303" s="92" t="s">
        <v>22</v>
      </c>
      <c r="B303" s="93" t="s">
        <v>37</v>
      </c>
      <c r="C303" s="92"/>
      <c r="D303" s="92"/>
      <c r="E303" s="147">
        <f>SUM(E304:E309)</f>
        <v>2285.1999999999998</v>
      </c>
    </row>
    <row r="304" spans="1:5" ht="25" customHeight="1" x14ac:dyDescent="0.35">
      <c r="A304" s="33"/>
      <c r="B304" s="34" t="s">
        <v>38</v>
      </c>
      <c r="C304" s="33" t="s">
        <v>654</v>
      </c>
      <c r="D304" s="33">
        <v>4000</v>
      </c>
      <c r="E304" s="82">
        <f>D304*0.52</f>
        <v>2080</v>
      </c>
    </row>
    <row r="305" spans="1:5" ht="25" customHeight="1" x14ac:dyDescent="0.35">
      <c r="A305" s="33"/>
      <c r="B305" s="34" t="s">
        <v>39</v>
      </c>
      <c r="C305" s="33" t="s">
        <v>654</v>
      </c>
      <c r="D305" s="33">
        <v>2500</v>
      </c>
      <c r="E305" s="82">
        <f>D305*0.05</f>
        <v>125</v>
      </c>
    </row>
    <row r="306" spans="1:5" ht="34.5" customHeight="1" x14ac:dyDescent="0.35">
      <c r="A306" s="33"/>
      <c r="B306" s="18" t="s">
        <v>818</v>
      </c>
      <c r="C306" s="33" t="s">
        <v>717</v>
      </c>
      <c r="D306" s="33">
        <v>10</v>
      </c>
      <c r="E306" s="82">
        <f>D306*6</f>
        <v>60</v>
      </c>
    </row>
    <row r="307" spans="1:5" ht="25" customHeight="1" x14ac:dyDescent="0.35">
      <c r="A307" s="33"/>
      <c r="B307" s="34" t="s">
        <v>41</v>
      </c>
      <c r="C307" s="33" t="s">
        <v>735</v>
      </c>
      <c r="D307" s="33">
        <v>80</v>
      </c>
      <c r="E307" s="146">
        <f>D307*0.12</f>
        <v>9.6</v>
      </c>
    </row>
    <row r="308" spans="1:5" ht="25" customHeight="1" x14ac:dyDescent="0.35">
      <c r="A308" s="33"/>
      <c r="B308" s="34" t="s">
        <v>15</v>
      </c>
      <c r="C308" s="33" t="s">
        <v>792</v>
      </c>
      <c r="D308" s="33">
        <v>100</v>
      </c>
      <c r="E308" s="82">
        <f>D308*0.05</f>
        <v>5</v>
      </c>
    </row>
    <row r="309" spans="1:5" ht="25" customHeight="1" x14ac:dyDescent="0.35">
      <c r="A309" s="33"/>
      <c r="B309" s="34" t="s">
        <v>42</v>
      </c>
      <c r="C309" s="33" t="s">
        <v>793</v>
      </c>
      <c r="D309" s="33">
        <v>8</v>
      </c>
      <c r="E309" s="146">
        <f>D309*0.7</f>
        <v>5.6</v>
      </c>
    </row>
    <row r="310" spans="1:5" ht="25" customHeight="1" x14ac:dyDescent="0.35">
      <c r="A310" s="92" t="s">
        <v>22</v>
      </c>
      <c r="B310" s="93" t="s">
        <v>43</v>
      </c>
      <c r="C310" s="92"/>
      <c r="D310" s="92"/>
      <c r="E310" s="130">
        <f>SUM(E311:E316)</f>
        <v>942.07999999999993</v>
      </c>
    </row>
    <row r="311" spans="1:5" ht="25" customHeight="1" x14ac:dyDescent="0.35">
      <c r="A311" s="33"/>
      <c r="B311" s="34" t="s">
        <v>38</v>
      </c>
      <c r="C311" s="33" t="s">
        <v>654</v>
      </c>
      <c r="D311" s="33">
        <v>1600</v>
      </c>
      <c r="E311" s="60">
        <f>D311*0.5</f>
        <v>800</v>
      </c>
    </row>
    <row r="312" spans="1:5" ht="25" customHeight="1" x14ac:dyDescent="0.35">
      <c r="A312" s="33"/>
      <c r="B312" s="34" t="s">
        <v>39</v>
      </c>
      <c r="C312" s="33" t="s">
        <v>654</v>
      </c>
      <c r="D312" s="33">
        <v>1600</v>
      </c>
      <c r="E312" s="60">
        <f>D312*0.05</f>
        <v>80</v>
      </c>
    </row>
    <row r="313" spans="1:5" ht="25" customHeight="1" x14ac:dyDescent="0.35">
      <c r="A313" s="33"/>
      <c r="B313" s="34" t="s">
        <v>40</v>
      </c>
      <c r="C313" s="33" t="s">
        <v>717</v>
      </c>
      <c r="D313" s="33">
        <v>9</v>
      </c>
      <c r="E313" s="60">
        <f>D313*6</f>
        <v>54</v>
      </c>
    </row>
    <row r="314" spans="1:5" ht="25" customHeight="1" x14ac:dyDescent="0.35">
      <c r="A314" s="33"/>
      <c r="B314" s="34" t="s">
        <v>41</v>
      </c>
      <c r="C314" s="33" t="s">
        <v>735</v>
      </c>
      <c r="D314" s="33">
        <v>40</v>
      </c>
      <c r="E314" s="60">
        <f>D314*0.12</f>
        <v>4.8</v>
      </c>
    </row>
    <row r="315" spans="1:5" ht="25" customHeight="1" x14ac:dyDescent="0.35">
      <c r="A315" s="33"/>
      <c r="B315" s="34" t="s">
        <v>15</v>
      </c>
      <c r="C315" s="33" t="s">
        <v>792</v>
      </c>
      <c r="D315" s="33">
        <v>32</v>
      </c>
      <c r="E315" s="60">
        <f>D315*0.04</f>
        <v>1.28</v>
      </c>
    </row>
    <row r="316" spans="1:5" ht="25" customHeight="1" x14ac:dyDescent="0.35">
      <c r="A316" s="33"/>
      <c r="B316" s="34" t="s">
        <v>42</v>
      </c>
      <c r="C316" s="33" t="s">
        <v>793</v>
      </c>
      <c r="D316" s="33">
        <v>4</v>
      </c>
      <c r="E316" s="60">
        <f>D316*0.5</f>
        <v>2</v>
      </c>
    </row>
    <row r="317" spans="1:5" ht="25" customHeight="1" x14ac:dyDescent="0.35">
      <c r="A317" s="75">
        <v>5</v>
      </c>
      <c r="B317" s="79" t="s">
        <v>45</v>
      </c>
      <c r="C317" s="75"/>
      <c r="D317" s="75"/>
      <c r="E317" s="128">
        <f>E318+E327</f>
        <v>88.6</v>
      </c>
    </row>
    <row r="318" spans="1:5" ht="25" customHeight="1" x14ac:dyDescent="0.35">
      <c r="A318" s="148" t="s">
        <v>69</v>
      </c>
      <c r="B318" s="93" t="s">
        <v>46</v>
      </c>
      <c r="C318" s="92"/>
      <c r="D318" s="92"/>
      <c r="E318" s="130">
        <f>SUM(E319:E326)</f>
        <v>68</v>
      </c>
    </row>
    <row r="319" spans="1:5" ht="25" customHeight="1" x14ac:dyDescent="0.35">
      <c r="A319" s="33"/>
      <c r="B319" s="34" t="s">
        <v>86</v>
      </c>
      <c r="C319" s="33" t="s">
        <v>681</v>
      </c>
      <c r="D319" s="33">
        <v>1</v>
      </c>
      <c r="E319" s="82">
        <v>3</v>
      </c>
    </row>
    <row r="320" spans="1:5" ht="25" customHeight="1" x14ac:dyDescent="0.35">
      <c r="A320" s="33"/>
      <c r="B320" s="34" t="s">
        <v>247</v>
      </c>
      <c r="C320" s="33" t="s">
        <v>800</v>
      </c>
      <c r="D320" s="33">
        <v>1</v>
      </c>
      <c r="E320" s="82">
        <f>D320*7</f>
        <v>7</v>
      </c>
    </row>
    <row r="321" spans="1:5" ht="33" customHeight="1" x14ac:dyDescent="0.35">
      <c r="A321" s="33"/>
      <c r="B321" s="34" t="s">
        <v>248</v>
      </c>
      <c r="C321" s="33" t="s">
        <v>676</v>
      </c>
      <c r="D321" s="33">
        <v>1</v>
      </c>
      <c r="E321" s="82">
        <v>8</v>
      </c>
    </row>
    <row r="322" spans="1:5" ht="25" customHeight="1" x14ac:dyDescent="0.35">
      <c r="A322" s="33"/>
      <c r="B322" s="34" t="s">
        <v>245</v>
      </c>
      <c r="C322" s="33" t="s">
        <v>676</v>
      </c>
      <c r="D322" s="33">
        <v>1</v>
      </c>
      <c r="E322" s="82">
        <v>20</v>
      </c>
    </row>
    <row r="323" spans="1:5" ht="25" customHeight="1" x14ac:dyDescent="0.35">
      <c r="A323" s="33"/>
      <c r="B323" s="34" t="s">
        <v>52</v>
      </c>
      <c r="C323" s="33" t="s">
        <v>798</v>
      </c>
      <c r="D323" s="33">
        <v>1</v>
      </c>
      <c r="E323" s="82">
        <v>2</v>
      </c>
    </row>
    <row r="324" spans="1:5" ht="25" customHeight="1" x14ac:dyDescent="0.35">
      <c r="A324" s="33"/>
      <c r="B324" s="34" t="s">
        <v>53</v>
      </c>
      <c r="C324" s="33" t="s">
        <v>799</v>
      </c>
      <c r="D324" s="33">
        <v>200</v>
      </c>
      <c r="E324" s="82">
        <v>2</v>
      </c>
    </row>
    <row r="325" spans="1:5" ht="25" customHeight="1" x14ac:dyDescent="0.35">
      <c r="A325" s="33"/>
      <c r="B325" s="94" t="s">
        <v>54</v>
      </c>
      <c r="C325" s="357" t="s">
        <v>683</v>
      </c>
      <c r="D325" s="33">
        <v>3</v>
      </c>
      <c r="E325" s="82">
        <v>6</v>
      </c>
    </row>
    <row r="326" spans="1:5" ht="25" customHeight="1" x14ac:dyDescent="0.35">
      <c r="A326" s="33"/>
      <c r="B326" s="94" t="s">
        <v>88</v>
      </c>
      <c r="C326" s="357" t="s">
        <v>683</v>
      </c>
      <c r="D326" s="33">
        <v>40</v>
      </c>
      <c r="E326" s="82">
        <v>20</v>
      </c>
    </row>
    <row r="327" spans="1:5" ht="25" customHeight="1" x14ac:dyDescent="0.35">
      <c r="A327" s="148" t="s">
        <v>69</v>
      </c>
      <c r="B327" s="95" t="s">
        <v>56</v>
      </c>
      <c r="C327" s="475"/>
      <c r="D327" s="92"/>
      <c r="E327" s="130">
        <f>SUM(E328:E330)</f>
        <v>20.6</v>
      </c>
    </row>
    <row r="328" spans="1:5" ht="50.25" customHeight="1" x14ac:dyDescent="0.35">
      <c r="A328" s="33"/>
      <c r="B328" s="34" t="s">
        <v>853</v>
      </c>
      <c r="C328" s="33" t="s">
        <v>676</v>
      </c>
      <c r="D328" s="33">
        <v>2</v>
      </c>
      <c r="E328" s="82">
        <f>D328*2.5</f>
        <v>5</v>
      </c>
    </row>
    <row r="329" spans="1:5" ht="25" customHeight="1" x14ac:dyDescent="0.35">
      <c r="A329" s="33"/>
      <c r="B329" s="34" t="s">
        <v>59</v>
      </c>
      <c r="C329" s="33" t="s">
        <v>676</v>
      </c>
      <c r="D329" s="33">
        <v>1</v>
      </c>
      <c r="E329" s="82">
        <v>12</v>
      </c>
    </row>
    <row r="330" spans="1:5" ht="25" customHeight="1" x14ac:dyDescent="0.35">
      <c r="A330" s="33"/>
      <c r="B330" s="34" t="s">
        <v>57</v>
      </c>
      <c r="C330" s="33" t="s">
        <v>735</v>
      </c>
      <c r="D330" s="33">
        <v>30</v>
      </c>
      <c r="E330" s="60">
        <f>D330*0.12</f>
        <v>3.5999999999999996</v>
      </c>
    </row>
    <row r="331" spans="1:5" ht="25" customHeight="1" x14ac:dyDescent="0.35">
      <c r="A331" s="75">
        <v>4</v>
      </c>
      <c r="B331" s="79" t="s">
        <v>61</v>
      </c>
      <c r="C331" s="75"/>
      <c r="D331" s="75"/>
      <c r="E331" s="128">
        <f>SUM(E332:E334)</f>
        <v>164.1</v>
      </c>
    </row>
    <row r="332" spans="1:5" ht="33" customHeight="1" x14ac:dyDescent="0.35">
      <c r="A332" s="33"/>
      <c r="B332" s="96" t="s">
        <v>249</v>
      </c>
      <c r="C332" s="476" t="s">
        <v>681</v>
      </c>
      <c r="D332" s="33">
        <v>27</v>
      </c>
      <c r="E332" s="60">
        <f>D332*0.3</f>
        <v>8.1</v>
      </c>
    </row>
    <row r="333" spans="1:5" ht="38.25" customHeight="1" x14ac:dyDescent="0.35">
      <c r="A333" s="33"/>
      <c r="B333" s="96" t="s">
        <v>250</v>
      </c>
      <c r="C333" s="476" t="s">
        <v>654</v>
      </c>
      <c r="D333" s="33">
        <v>300</v>
      </c>
      <c r="E333" s="60">
        <f>D333*0.08</f>
        <v>24</v>
      </c>
    </row>
    <row r="334" spans="1:5" ht="25" customHeight="1" x14ac:dyDescent="0.35">
      <c r="A334" s="33"/>
      <c r="B334" s="34" t="s">
        <v>63</v>
      </c>
      <c r="C334" s="33" t="s">
        <v>654</v>
      </c>
      <c r="D334" s="33">
        <v>4400</v>
      </c>
      <c r="E334" s="60">
        <f>D334*0.03</f>
        <v>132</v>
      </c>
    </row>
    <row r="335" spans="1:5" ht="25" customHeight="1" x14ac:dyDescent="0.35">
      <c r="A335" s="75">
        <v>5</v>
      </c>
      <c r="B335" s="79" t="s">
        <v>66</v>
      </c>
      <c r="C335" s="75"/>
      <c r="D335" s="75"/>
      <c r="E335" s="128">
        <f>SUM(E336:E336)</f>
        <v>69</v>
      </c>
    </row>
    <row r="336" spans="1:5" ht="25" customHeight="1" x14ac:dyDescent="0.35">
      <c r="A336" s="33"/>
      <c r="B336" s="34" t="s">
        <v>67</v>
      </c>
      <c r="C336" s="33" t="s">
        <v>791</v>
      </c>
      <c r="D336" s="33">
        <v>69</v>
      </c>
      <c r="E336" s="60">
        <f>D336*1</f>
        <v>69</v>
      </c>
    </row>
    <row r="337" spans="1:5" ht="25" customHeight="1" x14ac:dyDescent="0.35">
      <c r="A337" s="15" t="s">
        <v>65</v>
      </c>
      <c r="B337" s="16" t="s">
        <v>251</v>
      </c>
      <c r="C337" s="15"/>
      <c r="D337" s="15"/>
      <c r="E337" s="152">
        <f>E338+E345+E349+E351+E365+E382+E386</f>
        <v>3731.2900000000004</v>
      </c>
    </row>
    <row r="338" spans="1:5" ht="25" customHeight="1" x14ac:dyDescent="0.35">
      <c r="A338" s="534">
        <v>1</v>
      </c>
      <c r="B338" s="38" t="s">
        <v>13</v>
      </c>
      <c r="C338" s="534"/>
      <c r="D338" s="534"/>
      <c r="E338" s="155">
        <f>SUM(E339:E341)</f>
        <v>1328</v>
      </c>
    </row>
    <row r="339" spans="1:5" ht="25" customHeight="1" x14ac:dyDescent="0.35">
      <c r="A339" s="37" t="s">
        <v>69</v>
      </c>
      <c r="B339" s="555" t="s">
        <v>297</v>
      </c>
      <c r="C339" s="40" t="s">
        <v>767</v>
      </c>
      <c r="D339" s="31">
        <v>3</v>
      </c>
      <c r="E339" s="142">
        <f>D339*100</f>
        <v>300</v>
      </c>
    </row>
    <row r="340" spans="1:5" ht="25" customHeight="1" x14ac:dyDescent="0.35">
      <c r="A340" s="37" t="s">
        <v>69</v>
      </c>
      <c r="B340" s="32" t="s">
        <v>71</v>
      </c>
      <c r="C340" s="31" t="s">
        <v>767</v>
      </c>
      <c r="D340" s="31">
        <v>16</v>
      </c>
      <c r="E340" s="142">
        <f>D340*20</f>
        <v>320</v>
      </c>
    </row>
    <row r="341" spans="1:5" ht="25" customHeight="1" x14ac:dyDescent="0.35">
      <c r="A341" s="37" t="s">
        <v>69</v>
      </c>
      <c r="B341" s="32" t="s">
        <v>21</v>
      </c>
      <c r="C341" s="31"/>
      <c r="D341" s="31"/>
      <c r="E341" s="142">
        <f>SUM(E342:E344)</f>
        <v>708</v>
      </c>
    </row>
    <row r="342" spans="1:5" ht="25" customHeight="1" x14ac:dyDescent="0.35">
      <c r="A342" s="47"/>
      <c r="B342" s="50" t="s">
        <v>23</v>
      </c>
      <c r="C342" s="47" t="s">
        <v>767</v>
      </c>
      <c r="D342" s="47">
        <v>32</v>
      </c>
      <c r="E342" s="559">
        <f>D342*10</f>
        <v>320</v>
      </c>
    </row>
    <row r="343" spans="1:5" ht="25" customHeight="1" x14ac:dyDescent="0.35">
      <c r="A343" s="47"/>
      <c r="B343" s="50" t="s">
        <v>24</v>
      </c>
      <c r="C343" s="47" t="s">
        <v>767</v>
      </c>
      <c r="D343" s="47">
        <v>31</v>
      </c>
      <c r="E343" s="559">
        <f>D343*8</f>
        <v>248</v>
      </c>
    </row>
    <row r="344" spans="1:5" ht="25" customHeight="1" x14ac:dyDescent="0.35">
      <c r="A344" s="47"/>
      <c r="B344" s="50" t="s">
        <v>25</v>
      </c>
      <c r="C344" s="47" t="s">
        <v>767</v>
      </c>
      <c r="D344" s="47">
        <v>28</v>
      </c>
      <c r="E344" s="559">
        <f>D344*5</f>
        <v>140</v>
      </c>
    </row>
    <row r="345" spans="1:5" ht="25" customHeight="1" x14ac:dyDescent="0.35">
      <c r="A345" s="534">
        <v>2</v>
      </c>
      <c r="B345" s="51" t="s">
        <v>14</v>
      </c>
      <c r="C345" s="534"/>
      <c r="D345" s="534"/>
      <c r="E345" s="155">
        <f>SUM(E346:E348)</f>
        <v>297</v>
      </c>
    </row>
    <row r="346" spans="1:5" ht="25" customHeight="1" x14ac:dyDescent="0.35">
      <c r="A346" s="31"/>
      <c r="B346" s="32" t="s">
        <v>26</v>
      </c>
      <c r="C346" s="31" t="s">
        <v>789</v>
      </c>
      <c r="D346" s="31">
        <v>25</v>
      </c>
      <c r="E346" s="142">
        <f>D346*5</f>
        <v>125</v>
      </c>
    </row>
    <row r="347" spans="1:5" ht="25" customHeight="1" x14ac:dyDescent="0.35">
      <c r="A347" s="31"/>
      <c r="B347" s="32" t="s">
        <v>28</v>
      </c>
      <c r="C347" s="31" t="s">
        <v>790</v>
      </c>
      <c r="D347" s="31">
        <v>6</v>
      </c>
      <c r="E347" s="142">
        <f>D347*4</f>
        <v>24</v>
      </c>
    </row>
    <row r="348" spans="1:5" ht="33" customHeight="1" x14ac:dyDescent="0.35">
      <c r="A348" s="31"/>
      <c r="B348" s="32" t="s">
        <v>72</v>
      </c>
      <c r="C348" s="31" t="s">
        <v>790</v>
      </c>
      <c r="D348" s="31">
        <v>37</v>
      </c>
      <c r="E348" s="142">
        <f>D348*4</f>
        <v>148</v>
      </c>
    </row>
    <row r="349" spans="1:5" ht="25" customHeight="1" x14ac:dyDescent="0.35">
      <c r="A349" s="534">
        <v>3</v>
      </c>
      <c r="B349" s="51" t="s">
        <v>32</v>
      </c>
      <c r="C349" s="534"/>
      <c r="D349" s="534"/>
      <c r="E349" s="104">
        <f>SUM(E350:E350)</f>
        <v>78.75</v>
      </c>
    </row>
    <row r="350" spans="1:5" ht="33" customHeight="1" x14ac:dyDescent="0.35">
      <c r="A350" s="31"/>
      <c r="B350" s="32" t="s">
        <v>252</v>
      </c>
      <c r="C350" s="31" t="s">
        <v>654</v>
      </c>
      <c r="D350" s="31">
        <v>10500</v>
      </c>
      <c r="E350" s="56">
        <f>D350*5*0.0015</f>
        <v>78.75</v>
      </c>
    </row>
    <row r="351" spans="1:5" ht="25" customHeight="1" x14ac:dyDescent="0.35">
      <c r="A351" s="534">
        <v>4</v>
      </c>
      <c r="B351" s="51" t="s">
        <v>36</v>
      </c>
      <c r="C351" s="534"/>
      <c r="D351" s="534"/>
      <c r="E351" s="104">
        <f>E352+E358</f>
        <v>920.6400000000001</v>
      </c>
    </row>
    <row r="352" spans="1:5" ht="25" customHeight="1" x14ac:dyDescent="0.35">
      <c r="A352" s="48" t="s">
        <v>22</v>
      </c>
      <c r="B352" s="52" t="s">
        <v>37</v>
      </c>
      <c r="C352" s="48"/>
      <c r="D352" s="48"/>
      <c r="E352" s="108">
        <f>SUM(E353:E357)</f>
        <v>389.2</v>
      </c>
    </row>
    <row r="353" spans="1:5" ht="25" customHeight="1" x14ac:dyDescent="0.35">
      <c r="A353" s="31"/>
      <c r="B353" s="32" t="s">
        <v>38</v>
      </c>
      <c r="C353" s="31" t="s">
        <v>654</v>
      </c>
      <c r="D353" s="31">
        <v>500</v>
      </c>
      <c r="E353" s="56">
        <f>D353*0.52</f>
        <v>260</v>
      </c>
    </row>
    <row r="354" spans="1:5" ht="25" customHeight="1" x14ac:dyDescent="0.35">
      <c r="A354" s="31"/>
      <c r="B354" s="32" t="s">
        <v>39</v>
      </c>
      <c r="C354" s="31" t="s">
        <v>654</v>
      </c>
      <c r="D354" s="31">
        <v>1300</v>
      </c>
      <c r="E354" s="56">
        <f>D354*0.05</f>
        <v>65</v>
      </c>
    </row>
    <row r="355" spans="1:5" ht="34.5" customHeight="1" x14ac:dyDescent="0.35">
      <c r="A355" s="31"/>
      <c r="B355" s="18" t="s">
        <v>818</v>
      </c>
      <c r="C355" s="31" t="s">
        <v>717</v>
      </c>
      <c r="D355" s="31">
        <v>9</v>
      </c>
      <c r="E355" s="56">
        <f>D355*6</f>
        <v>54</v>
      </c>
    </row>
    <row r="356" spans="1:5" ht="25" customHeight="1" x14ac:dyDescent="0.35">
      <c r="A356" s="31"/>
      <c r="B356" s="32" t="s">
        <v>41</v>
      </c>
      <c r="C356" s="31" t="s">
        <v>735</v>
      </c>
      <c r="D356" s="31">
        <v>50</v>
      </c>
      <c r="E356" s="56">
        <f>D356*0.12</f>
        <v>6</v>
      </c>
    </row>
    <row r="357" spans="1:5" ht="25" customHeight="1" x14ac:dyDescent="0.35">
      <c r="A357" s="31"/>
      <c r="B357" s="32" t="s">
        <v>42</v>
      </c>
      <c r="C357" s="31" t="s">
        <v>793</v>
      </c>
      <c r="D357" s="31">
        <v>6</v>
      </c>
      <c r="E357" s="56">
        <f>D357*0.7</f>
        <v>4.1999999999999993</v>
      </c>
    </row>
    <row r="358" spans="1:5" ht="25" customHeight="1" x14ac:dyDescent="0.35">
      <c r="A358" s="48" t="s">
        <v>22</v>
      </c>
      <c r="B358" s="52" t="s">
        <v>43</v>
      </c>
      <c r="C358" s="48"/>
      <c r="D358" s="48"/>
      <c r="E358" s="108">
        <f>SUM(E359:E364)</f>
        <v>531.44000000000005</v>
      </c>
    </row>
    <row r="359" spans="1:5" ht="25" customHeight="1" x14ac:dyDescent="0.35">
      <c r="A359" s="31"/>
      <c r="B359" s="32" t="s">
        <v>38</v>
      </c>
      <c r="C359" s="31" t="s">
        <v>654</v>
      </c>
      <c r="D359" s="31">
        <v>750</v>
      </c>
      <c r="E359" s="56">
        <f>D359*0.5</f>
        <v>375</v>
      </c>
    </row>
    <row r="360" spans="1:5" ht="25" customHeight="1" x14ac:dyDescent="0.35">
      <c r="A360" s="31"/>
      <c r="B360" s="32" t="s">
        <v>39</v>
      </c>
      <c r="C360" s="31" t="s">
        <v>654</v>
      </c>
      <c r="D360" s="31">
        <v>1500</v>
      </c>
      <c r="E360" s="56">
        <f>D360*0.05</f>
        <v>75</v>
      </c>
    </row>
    <row r="361" spans="1:5" ht="39.75" customHeight="1" x14ac:dyDescent="0.35">
      <c r="A361" s="31"/>
      <c r="B361" s="18" t="s">
        <v>818</v>
      </c>
      <c r="C361" s="31" t="s">
        <v>717</v>
      </c>
      <c r="D361" s="31">
        <v>10</v>
      </c>
      <c r="E361" s="56">
        <f>D361*6</f>
        <v>60</v>
      </c>
    </row>
    <row r="362" spans="1:5" ht="25" customHeight="1" x14ac:dyDescent="0.35">
      <c r="A362" s="31"/>
      <c r="B362" s="32" t="s">
        <v>41</v>
      </c>
      <c r="C362" s="31" t="s">
        <v>735</v>
      </c>
      <c r="D362" s="31">
        <v>105</v>
      </c>
      <c r="E362" s="56">
        <f>D362*0.12</f>
        <v>12.6</v>
      </c>
    </row>
    <row r="363" spans="1:5" ht="25" customHeight="1" x14ac:dyDescent="0.35">
      <c r="A363" s="31"/>
      <c r="B363" s="32" t="s">
        <v>15</v>
      </c>
      <c r="C363" s="31" t="s">
        <v>792</v>
      </c>
      <c r="D363" s="31">
        <v>71</v>
      </c>
      <c r="E363" s="56">
        <f>D363*0.04</f>
        <v>2.84</v>
      </c>
    </row>
    <row r="364" spans="1:5" ht="25" customHeight="1" x14ac:dyDescent="0.35">
      <c r="A364" s="31"/>
      <c r="B364" s="32" t="s">
        <v>42</v>
      </c>
      <c r="C364" s="31" t="s">
        <v>793</v>
      </c>
      <c r="D364" s="31">
        <v>12</v>
      </c>
      <c r="E364" s="56">
        <f>D364*0.5</f>
        <v>6</v>
      </c>
    </row>
    <row r="365" spans="1:5" ht="25" customHeight="1" x14ac:dyDescent="0.35">
      <c r="A365" s="534">
        <v>5</v>
      </c>
      <c r="B365" s="51" t="s">
        <v>45</v>
      </c>
      <c r="C365" s="534"/>
      <c r="D365" s="534"/>
      <c r="E365" s="155">
        <f>E366+E378</f>
        <v>883</v>
      </c>
    </row>
    <row r="366" spans="1:5" ht="25" customHeight="1" x14ac:dyDescent="0.35">
      <c r="A366" s="49" t="s">
        <v>69</v>
      </c>
      <c r="B366" s="52" t="s">
        <v>46</v>
      </c>
      <c r="C366" s="48"/>
      <c r="D366" s="48"/>
      <c r="E366" s="157">
        <f>SUM(E367:E377)</f>
        <v>866</v>
      </c>
    </row>
    <row r="367" spans="1:5" ht="25" customHeight="1" x14ac:dyDescent="0.35">
      <c r="A367" s="31"/>
      <c r="B367" s="32" t="s">
        <v>81</v>
      </c>
      <c r="C367" s="31"/>
      <c r="D367" s="31">
        <v>1</v>
      </c>
      <c r="E367" s="142">
        <v>50</v>
      </c>
    </row>
    <row r="368" spans="1:5" ht="25" customHeight="1" x14ac:dyDescent="0.35">
      <c r="A368" s="31"/>
      <c r="B368" s="32" t="s">
        <v>82</v>
      </c>
      <c r="C368" s="31" t="s">
        <v>767</v>
      </c>
      <c r="D368" s="31">
        <v>1</v>
      </c>
      <c r="E368" s="142">
        <v>700</v>
      </c>
    </row>
    <row r="369" spans="1:5" ht="34.5" customHeight="1" x14ac:dyDescent="0.35">
      <c r="A369" s="31"/>
      <c r="B369" s="32" t="s">
        <v>253</v>
      </c>
      <c r="C369" s="31" t="s">
        <v>654</v>
      </c>
      <c r="D369" s="31">
        <v>70</v>
      </c>
      <c r="E369" s="142">
        <f>D369*0.4</f>
        <v>28</v>
      </c>
    </row>
    <row r="370" spans="1:5" ht="25" customHeight="1" x14ac:dyDescent="0.35">
      <c r="A370" s="31"/>
      <c r="B370" s="32" t="s">
        <v>84</v>
      </c>
      <c r="C370" s="31" t="s">
        <v>767</v>
      </c>
      <c r="D370" s="31">
        <v>1</v>
      </c>
      <c r="E370" s="142">
        <v>20</v>
      </c>
    </row>
    <row r="371" spans="1:5" ht="25" customHeight="1" x14ac:dyDescent="0.35">
      <c r="A371" s="31"/>
      <c r="B371" s="32" t="s">
        <v>86</v>
      </c>
      <c r="C371" s="31" t="s">
        <v>681</v>
      </c>
      <c r="D371" s="31">
        <v>1</v>
      </c>
      <c r="E371" s="142">
        <v>3</v>
      </c>
    </row>
    <row r="372" spans="1:5" ht="51.75" customHeight="1" x14ac:dyDescent="0.35">
      <c r="A372" s="31"/>
      <c r="B372" s="32" t="s">
        <v>87</v>
      </c>
      <c r="C372" s="31" t="s">
        <v>676</v>
      </c>
      <c r="D372" s="31">
        <v>1</v>
      </c>
      <c r="E372" s="142">
        <v>15</v>
      </c>
    </row>
    <row r="373" spans="1:5" ht="25" customHeight="1" x14ac:dyDescent="0.35">
      <c r="A373" s="31"/>
      <c r="B373" s="32" t="s">
        <v>254</v>
      </c>
      <c r="C373" s="31" t="s">
        <v>676</v>
      </c>
      <c r="D373" s="31">
        <v>1</v>
      </c>
      <c r="E373" s="142">
        <v>20</v>
      </c>
    </row>
    <row r="374" spans="1:5" ht="25" customHeight="1" x14ac:dyDescent="0.35">
      <c r="A374" s="31"/>
      <c r="B374" s="32" t="s">
        <v>52</v>
      </c>
      <c r="C374" s="31" t="s">
        <v>798</v>
      </c>
      <c r="D374" s="31">
        <v>1</v>
      </c>
      <c r="E374" s="142">
        <v>2</v>
      </c>
    </row>
    <row r="375" spans="1:5" ht="25" customHeight="1" x14ac:dyDescent="0.35">
      <c r="A375" s="31"/>
      <c r="B375" s="32" t="s">
        <v>53</v>
      </c>
      <c r="C375" s="31" t="s">
        <v>799</v>
      </c>
      <c r="D375" s="31">
        <v>200</v>
      </c>
      <c r="E375" s="142">
        <v>2</v>
      </c>
    </row>
    <row r="376" spans="1:5" ht="25" customHeight="1" x14ac:dyDescent="0.35">
      <c r="A376" s="31"/>
      <c r="B376" s="53" t="s">
        <v>54</v>
      </c>
      <c r="C376" s="389" t="s">
        <v>683</v>
      </c>
      <c r="D376" s="31">
        <v>3</v>
      </c>
      <c r="E376" s="142">
        <v>6</v>
      </c>
    </row>
    <row r="377" spans="1:5" ht="25" customHeight="1" x14ac:dyDescent="0.35">
      <c r="A377" s="31"/>
      <c r="B377" s="53" t="s">
        <v>88</v>
      </c>
      <c r="C377" s="389" t="s">
        <v>683</v>
      </c>
      <c r="D377" s="31">
        <v>40</v>
      </c>
      <c r="E377" s="142">
        <v>20</v>
      </c>
    </row>
    <row r="378" spans="1:5" ht="25" customHeight="1" x14ac:dyDescent="0.35">
      <c r="A378" s="49" t="s">
        <v>69</v>
      </c>
      <c r="B378" s="54" t="s">
        <v>56</v>
      </c>
      <c r="C378" s="473"/>
      <c r="D378" s="48"/>
      <c r="E378" s="157">
        <f>SUM(E379:E380)</f>
        <v>17</v>
      </c>
    </row>
    <row r="379" spans="1:5" ht="35.25" customHeight="1" x14ac:dyDescent="0.35">
      <c r="A379" s="31"/>
      <c r="B379" s="32" t="s">
        <v>255</v>
      </c>
      <c r="C379" s="31" t="s">
        <v>676</v>
      </c>
      <c r="D379" s="31">
        <v>1</v>
      </c>
      <c r="E379" s="142">
        <v>12</v>
      </c>
    </row>
    <row r="380" spans="1:5" ht="54.75" customHeight="1" x14ac:dyDescent="0.35">
      <c r="A380" s="31"/>
      <c r="B380" s="32" t="s">
        <v>256</v>
      </c>
      <c r="C380" s="31" t="s">
        <v>676</v>
      </c>
      <c r="D380" s="31">
        <v>1</v>
      </c>
      <c r="E380" s="142">
        <f>D380*5</f>
        <v>5</v>
      </c>
    </row>
    <row r="381" spans="1:5" ht="25" customHeight="1" x14ac:dyDescent="0.35">
      <c r="A381" s="31"/>
      <c r="B381" s="32" t="s">
        <v>57</v>
      </c>
      <c r="C381" s="31" t="s">
        <v>735</v>
      </c>
      <c r="D381" s="31">
        <v>50</v>
      </c>
      <c r="E381" s="142">
        <f>D381*0.12</f>
        <v>6</v>
      </c>
    </row>
    <row r="382" spans="1:5" ht="25" customHeight="1" x14ac:dyDescent="0.35">
      <c r="A382" s="534">
        <v>6</v>
      </c>
      <c r="B382" s="51" t="s">
        <v>61</v>
      </c>
      <c r="C382" s="534"/>
      <c r="D382" s="541"/>
      <c r="E382" s="104">
        <f>E383+E384+E385</f>
        <v>144.9</v>
      </c>
    </row>
    <row r="383" spans="1:5" ht="25" customHeight="1" x14ac:dyDescent="0.35">
      <c r="A383" s="31"/>
      <c r="B383" s="32" t="s">
        <v>257</v>
      </c>
      <c r="C383" s="31" t="s">
        <v>654</v>
      </c>
      <c r="D383" s="44">
        <v>300</v>
      </c>
      <c r="E383" s="56">
        <f>D383*0.012</f>
        <v>3.6</v>
      </c>
    </row>
    <row r="384" spans="1:5" ht="25" customHeight="1" x14ac:dyDescent="0.35">
      <c r="A384" s="31"/>
      <c r="B384" s="32" t="s">
        <v>258</v>
      </c>
      <c r="C384" s="31" t="s">
        <v>681</v>
      </c>
      <c r="D384" s="44">
        <v>36</v>
      </c>
      <c r="E384" s="56">
        <f>D384*0.3</f>
        <v>10.799999999999999</v>
      </c>
    </row>
    <row r="385" spans="1:5" ht="36.75" customHeight="1" x14ac:dyDescent="0.35">
      <c r="A385" s="31"/>
      <c r="B385" s="32" t="s">
        <v>259</v>
      </c>
      <c r="C385" s="31" t="s">
        <v>654</v>
      </c>
      <c r="D385" s="44">
        <v>4350</v>
      </c>
      <c r="E385" s="56">
        <f>D385*0.03</f>
        <v>130.5</v>
      </c>
    </row>
    <row r="386" spans="1:5" ht="25" customHeight="1" x14ac:dyDescent="0.35">
      <c r="A386" s="534">
        <v>7</v>
      </c>
      <c r="B386" s="51" t="s">
        <v>66</v>
      </c>
      <c r="C386" s="534"/>
      <c r="D386" s="534"/>
      <c r="E386" s="104">
        <f>SUM(E388:E388)</f>
        <v>79</v>
      </c>
    </row>
    <row r="387" spans="1:5" ht="25" customHeight="1" x14ac:dyDescent="0.35">
      <c r="A387" s="31"/>
      <c r="B387" s="32" t="s">
        <v>260</v>
      </c>
      <c r="C387" s="31" t="s">
        <v>800</v>
      </c>
      <c r="D387" s="31">
        <v>4</v>
      </c>
      <c r="E387" s="142">
        <f>D387*5</f>
        <v>20</v>
      </c>
    </row>
    <row r="388" spans="1:5" ht="25" customHeight="1" x14ac:dyDescent="0.35">
      <c r="A388" s="31"/>
      <c r="B388" s="32" t="s">
        <v>67</v>
      </c>
      <c r="C388" s="31" t="s">
        <v>791</v>
      </c>
      <c r="D388" s="31">
        <v>79</v>
      </c>
      <c r="E388" s="142">
        <f>D388*1</f>
        <v>79</v>
      </c>
    </row>
    <row r="389" spans="1:5" ht="25" customHeight="1" x14ac:dyDescent="0.35">
      <c r="A389" s="102" t="s">
        <v>298</v>
      </c>
      <c r="B389" s="16" t="s">
        <v>261</v>
      </c>
      <c r="C389" s="15"/>
      <c r="D389" s="15"/>
      <c r="E389" s="127">
        <f>E390+E397+E401+E403+E411+E421+E425</f>
        <v>3613.2</v>
      </c>
    </row>
    <row r="390" spans="1:5" ht="25" customHeight="1" x14ac:dyDescent="0.35">
      <c r="A390" s="103">
        <v>1</v>
      </c>
      <c r="B390" s="38" t="s">
        <v>13</v>
      </c>
      <c r="C390" s="534"/>
      <c r="D390" s="534"/>
      <c r="E390" s="104">
        <f>SUM(E391:E393)</f>
        <v>1179</v>
      </c>
    </row>
    <row r="391" spans="1:5" ht="25" customHeight="1" x14ac:dyDescent="0.35">
      <c r="A391" s="153" t="s">
        <v>69</v>
      </c>
      <c r="B391" s="32" t="s">
        <v>182</v>
      </c>
      <c r="C391" s="31" t="s">
        <v>767</v>
      </c>
      <c r="D391" s="31">
        <v>3</v>
      </c>
      <c r="E391" s="142">
        <v>100</v>
      </c>
    </row>
    <row r="392" spans="1:5" ht="25" customHeight="1" x14ac:dyDescent="0.35">
      <c r="A392" s="153" t="s">
        <v>69</v>
      </c>
      <c r="B392" s="32" t="s">
        <v>71</v>
      </c>
      <c r="C392" s="31" t="s">
        <v>767</v>
      </c>
      <c r="D392" s="31">
        <v>3</v>
      </c>
      <c r="E392" s="142">
        <f>D392*30</f>
        <v>90</v>
      </c>
    </row>
    <row r="393" spans="1:5" ht="25" customHeight="1" x14ac:dyDescent="0.35">
      <c r="A393" s="153" t="s">
        <v>69</v>
      </c>
      <c r="B393" s="32" t="s">
        <v>21</v>
      </c>
      <c r="C393" s="31"/>
      <c r="D393" s="31"/>
      <c r="E393" s="142">
        <f>SUM(E394:E396)</f>
        <v>989</v>
      </c>
    </row>
    <row r="394" spans="1:5" ht="25" customHeight="1" x14ac:dyDescent="0.35">
      <c r="A394" s="106"/>
      <c r="B394" s="50" t="s">
        <v>23</v>
      </c>
      <c r="C394" s="31" t="s">
        <v>767</v>
      </c>
      <c r="D394" s="47">
        <v>31</v>
      </c>
      <c r="E394" s="131">
        <f>D394*10</f>
        <v>310</v>
      </c>
    </row>
    <row r="395" spans="1:5" ht="25" customHeight="1" x14ac:dyDescent="0.35">
      <c r="A395" s="106"/>
      <c r="B395" s="50" t="s">
        <v>24</v>
      </c>
      <c r="C395" s="31" t="s">
        <v>767</v>
      </c>
      <c r="D395" s="47">
        <v>53</v>
      </c>
      <c r="E395" s="131">
        <f>D395*8</f>
        <v>424</v>
      </c>
    </row>
    <row r="396" spans="1:5" ht="25" customHeight="1" x14ac:dyDescent="0.35">
      <c r="A396" s="106"/>
      <c r="B396" s="50" t="s">
        <v>25</v>
      </c>
      <c r="C396" s="31" t="s">
        <v>767</v>
      </c>
      <c r="D396" s="47">
        <v>51</v>
      </c>
      <c r="E396" s="131">
        <f>D396*5</f>
        <v>255</v>
      </c>
    </row>
    <row r="397" spans="1:5" ht="25" customHeight="1" x14ac:dyDescent="0.35">
      <c r="A397" s="103">
        <v>2</v>
      </c>
      <c r="B397" s="51" t="s">
        <v>14</v>
      </c>
      <c r="C397" s="534"/>
      <c r="D397" s="534"/>
      <c r="E397" s="155">
        <f>SUM(E398:E400)</f>
        <v>1418</v>
      </c>
    </row>
    <row r="398" spans="1:5" ht="25" customHeight="1" x14ac:dyDescent="0.35">
      <c r="A398" s="105"/>
      <c r="B398" s="32" t="s">
        <v>183</v>
      </c>
      <c r="C398" s="31" t="s">
        <v>789</v>
      </c>
      <c r="D398" s="31">
        <v>3</v>
      </c>
      <c r="E398" s="142">
        <f>D398*10</f>
        <v>30</v>
      </c>
    </row>
    <row r="399" spans="1:5" ht="25" customHeight="1" x14ac:dyDescent="0.35">
      <c r="A399" s="105"/>
      <c r="B399" s="32" t="s">
        <v>26</v>
      </c>
      <c r="C399" s="31" t="s">
        <v>789</v>
      </c>
      <c r="D399" s="31">
        <v>102</v>
      </c>
      <c r="E399" s="142">
        <f>D399*10</f>
        <v>1020</v>
      </c>
    </row>
    <row r="400" spans="1:5" ht="33" customHeight="1" x14ac:dyDescent="0.35">
      <c r="A400" s="105"/>
      <c r="B400" s="32" t="s">
        <v>72</v>
      </c>
      <c r="C400" s="31" t="s">
        <v>790</v>
      </c>
      <c r="D400" s="31">
        <v>92</v>
      </c>
      <c r="E400" s="142">
        <f>D400*4</f>
        <v>368</v>
      </c>
    </row>
    <row r="401" spans="1:5" ht="25" customHeight="1" x14ac:dyDescent="0.35">
      <c r="A401" s="103">
        <v>3</v>
      </c>
      <c r="B401" s="51" t="s">
        <v>32</v>
      </c>
      <c r="C401" s="534"/>
      <c r="D401" s="534"/>
      <c r="E401" s="104">
        <f>SUM(E402:E402)</f>
        <v>37.5</v>
      </c>
    </row>
    <row r="402" spans="1:5" ht="37.5" customHeight="1" x14ac:dyDescent="0.35">
      <c r="A402" s="105"/>
      <c r="B402" s="32" t="s">
        <v>294</v>
      </c>
      <c r="C402" s="31" t="s">
        <v>654</v>
      </c>
      <c r="D402" s="31">
        <v>5000</v>
      </c>
      <c r="E402" s="56">
        <f>D402*5*0.0015</f>
        <v>37.5</v>
      </c>
    </row>
    <row r="403" spans="1:5" ht="25" customHeight="1" x14ac:dyDescent="0.35">
      <c r="A403" s="103">
        <v>4</v>
      </c>
      <c r="B403" s="51" t="s">
        <v>36</v>
      </c>
      <c r="C403" s="534"/>
      <c r="D403" s="534"/>
      <c r="E403" s="104">
        <f>E404</f>
        <v>482.09999999999997</v>
      </c>
    </row>
    <row r="404" spans="1:5" ht="25" customHeight="1" x14ac:dyDescent="0.35">
      <c r="A404" s="107" t="s">
        <v>22</v>
      </c>
      <c r="B404" s="52" t="s">
        <v>37</v>
      </c>
      <c r="C404" s="48"/>
      <c r="D404" s="48"/>
      <c r="E404" s="108">
        <f>SUM(E405:E410)</f>
        <v>482.09999999999997</v>
      </c>
    </row>
    <row r="405" spans="1:5" ht="25" customHeight="1" x14ac:dyDescent="0.35">
      <c r="A405" s="105"/>
      <c r="B405" s="32" t="s">
        <v>38</v>
      </c>
      <c r="C405" s="31" t="s">
        <v>654</v>
      </c>
      <c r="D405" s="31">
        <v>800</v>
      </c>
      <c r="E405" s="142">
        <f>D405*0.52</f>
        <v>416</v>
      </c>
    </row>
    <row r="406" spans="1:5" ht="25" customHeight="1" x14ac:dyDescent="0.35">
      <c r="A406" s="105"/>
      <c r="B406" s="32" t="s">
        <v>39</v>
      </c>
      <c r="C406" s="31" t="s">
        <v>654</v>
      </c>
      <c r="D406" s="31">
        <v>300</v>
      </c>
      <c r="E406" s="142">
        <f>D406*0.05</f>
        <v>15</v>
      </c>
    </row>
    <row r="407" spans="1:5" ht="38.25" customHeight="1" x14ac:dyDescent="0.35">
      <c r="A407" s="105"/>
      <c r="B407" s="18" t="s">
        <v>818</v>
      </c>
      <c r="C407" s="31" t="s">
        <v>717</v>
      </c>
      <c r="D407" s="31">
        <v>5</v>
      </c>
      <c r="E407" s="142">
        <f>D407*6</f>
        <v>30</v>
      </c>
    </row>
    <row r="408" spans="1:5" ht="25" customHeight="1" x14ac:dyDescent="0.35">
      <c r="A408" s="105"/>
      <c r="B408" s="32" t="s">
        <v>41</v>
      </c>
      <c r="C408" s="31" t="s">
        <v>735</v>
      </c>
      <c r="D408" s="31">
        <v>20</v>
      </c>
      <c r="E408" s="140">
        <f>D408*0.12</f>
        <v>2.4</v>
      </c>
    </row>
    <row r="409" spans="1:5" ht="25" customHeight="1" x14ac:dyDescent="0.35">
      <c r="A409" s="105"/>
      <c r="B409" s="32" t="s">
        <v>15</v>
      </c>
      <c r="C409" s="31" t="s">
        <v>792</v>
      </c>
      <c r="D409" s="31">
        <v>178</v>
      </c>
      <c r="E409" s="140">
        <f>D409*0.05</f>
        <v>8.9</v>
      </c>
    </row>
    <row r="410" spans="1:5" ht="25" customHeight="1" x14ac:dyDescent="0.35">
      <c r="A410" s="105"/>
      <c r="B410" s="32" t="s">
        <v>42</v>
      </c>
      <c r="C410" s="31" t="s">
        <v>793</v>
      </c>
      <c r="D410" s="31">
        <v>14</v>
      </c>
      <c r="E410" s="140">
        <f>D410*0.7</f>
        <v>9.7999999999999989</v>
      </c>
    </row>
    <row r="411" spans="1:5" ht="25" customHeight="1" x14ac:dyDescent="0.35">
      <c r="A411" s="103">
        <v>5</v>
      </c>
      <c r="B411" s="51" t="s">
        <v>45</v>
      </c>
      <c r="C411" s="534"/>
      <c r="D411" s="534"/>
      <c r="E411" s="155">
        <f>E412+E419</f>
        <v>69</v>
      </c>
    </row>
    <row r="412" spans="1:5" ht="25" customHeight="1" x14ac:dyDescent="0.35">
      <c r="A412" s="156" t="s">
        <v>69</v>
      </c>
      <c r="B412" s="52" t="s">
        <v>46</v>
      </c>
      <c r="C412" s="48"/>
      <c r="D412" s="48"/>
      <c r="E412" s="157">
        <f>SUM(E413:E418)</f>
        <v>57</v>
      </c>
    </row>
    <row r="413" spans="1:5" ht="25" customHeight="1" x14ac:dyDescent="0.35">
      <c r="A413" s="105"/>
      <c r="B413" s="32" t="s">
        <v>247</v>
      </c>
      <c r="C413" s="31" t="s">
        <v>800</v>
      </c>
      <c r="D413" s="31">
        <v>1</v>
      </c>
      <c r="E413" s="142">
        <f>D413*7</f>
        <v>7</v>
      </c>
    </row>
    <row r="414" spans="1:5" ht="25" customHeight="1" x14ac:dyDescent="0.35">
      <c r="A414" s="105"/>
      <c r="B414" s="32" t="s">
        <v>245</v>
      </c>
      <c r="C414" s="31" t="s">
        <v>676</v>
      </c>
      <c r="D414" s="31">
        <v>1</v>
      </c>
      <c r="E414" s="142">
        <v>20</v>
      </c>
    </row>
    <row r="415" spans="1:5" ht="25" customHeight="1" x14ac:dyDescent="0.35">
      <c r="A415" s="105"/>
      <c r="B415" s="32" t="s">
        <v>52</v>
      </c>
      <c r="C415" s="31" t="s">
        <v>798</v>
      </c>
      <c r="D415" s="31">
        <v>1</v>
      </c>
      <c r="E415" s="142">
        <v>2</v>
      </c>
    </row>
    <row r="416" spans="1:5" ht="25" customHeight="1" x14ac:dyDescent="0.35">
      <c r="A416" s="105"/>
      <c r="B416" s="32" t="s">
        <v>53</v>
      </c>
      <c r="C416" s="31" t="s">
        <v>799</v>
      </c>
      <c r="D416" s="31">
        <v>200</v>
      </c>
      <c r="E416" s="142">
        <v>2</v>
      </c>
    </row>
    <row r="417" spans="1:5" ht="25" customHeight="1" x14ac:dyDescent="0.35">
      <c r="A417" s="105"/>
      <c r="B417" s="53" t="s">
        <v>54</v>
      </c>
      <c r="C417" s="389" t="s">
        <v>683</v>
      </c>
      <c r="D417" s="31">
        <v>3</v>
      </c>
      <c r="E417" s="142">
        <v>6</v>
      </c>
    </row>
    <row r="418" spans="1:5" ht="25" customHeight="1" x14ac:dyDescent="0.35">
      <c r="A418" s="105"/>
      <c r="B418" s="53" t="s">
        <v>88</v>
      </c>
      <c r="C418" s="389" t="s">
        <v>683</v>
      </c>
      <c r="D418" s="31">
        <v>40</v>
      </c>
      <c r="E418" s="142">
        <v>20</v>
      </c>
    </row>
    <row r="419" spans="1:5" ht="25" customHeight="1" x14ac:dyDescent="0.35">
      <c r="A419" s="156" t="s">
        <v>69</v>
      </c>
      <c r="B419" s="54" t="s">
        <v>56</v>
      </c>
      <c r="C419" s="473"/>
      <c r="D419" s="48"/>
      <c r="E419" s="157">
        <f>SUM(E420:E420)</f>
        <v>12</v>
      </c>
    </row>
    <row r="420" spans="1:5" ht="25" customHeight="1" x14ac:dyDescent="0.35">
      <c r="A420" s="105"/>
      <c r="B420" s="32" t="s">
        <v>59</v>
      </c>
      <c r="C420" s="31" t="s">
        <v>676</v>
      </c>
      <c r="D420" s="31">
        <v>1</v>
      </c>
      <c r="E420" s="142">
        <v>12</v>
      </c>
    </row>
    <row r="421" spans="1:5" ht="25" customHeight="1" x14ac:dyDescent="0.35">
      <c r="A421" s="103">
        <v>6</v>
      </c>
      <c r="B421" s="51" t="s">
        <v>61</v>
      </c>
      <c r="C421" s="534"/>
      <c r="D421" s="534"/>
      <c r="E421" s="104">
        <f>SUM(E422:E424)</f>
        <v>213.6</v>
      </c>
    </row>
    <row r="422" spans="1:5" ht="33" customHeight="1" x14ac:dyDescent="0.35">
      <c r="A422" s="105"/>
      <c r="B422" s="109" t="s">
        <v>262</v>
      </c>
      <c r="C422" s="477" t="s">
        <v>681</v>
      </c>
      <c r="D422" s="31">
        <v>52</v>
      </c>
      <c r="E422" s="56">
        <f>D422*0.3</f>
        <v>15.6</v>
      </c>
    </row>
    <row r="423" spans="1:5" ht="32.25" customHeight="1" x14ac:dyDescent="0.35">
      <c r="A423" s="105"/>
      <c r="B423" s="109" t="s">
        <v>263</v>
      </c>
      <c r="C423" s="477" t="s">
        <v>654</v>
      </c>
      <c r="D423" s="31">
        <v>600</v>
      </c>
      <c r="E423" s="56">
        <f>D423*0.08</f>
        <v>48</v>
      </c>
    </row>
    <row r="424" spans="1:5" ht="25" customHeight="1" x14ac:dyDescent="0.35">
      <c r="A424" s="105"/>
      <c r="B424" s="32" t="s">
        <v>63</v>
      </c>
      <c r="C424" s="31" t="s">
        <v>654</v>
      </c>
      <c r="D424" s="31">
        <v>5000</v>
      </c>
      <c r="E424" s="56">
        <f>D424*0.03</f>
        <v>150</v>
      </c>
    </row>
    <row r="425" spans="1:5" ht="25" customHeight="1" x14ac:dyDescent="0.35">
      <c r="A425" s="103">
        <v>7</v>
      </c>
      <c r="B425" s="51" t="s">
        <v>66</v>
      </c>
      <c r="C425" s="534"/>
      <c r="D425" s="534"/>
      <c r="E425" s="104">
        <f>SUM(E426:E427)</f>
        <v>214</v>
      </c>
    </row>
    <row r="426" spans="1:5" ht="25" customHeight="1" x14ac:dyDescent="0.35">
      <c r="A426" s="105"/>
      <c r="B426" s="32" t="s">
        <v>264</v>
      </c>
      <c r="C426" s="31" t="s">
        <v>800</v>
      </c>
      <c r="D426" s="31">
        <v>18</v>
      </c>
      <c r="E426" s="142">
        <f>D426*5</f>
        <v>90</v>
      </c>
    </row>
    <row r="427" spans="1:5" ht="25" customHeight="1" x14ac:dyDescent="0.35">
      <c r="A427" s="105"/>
      <c r="B427" s="32" t="s">
        <v>67</v>
      </c>
      <c r="C427" s="31" t="s">
        <v>791</v>
      </c>
      <c r="D427" s="31">
        <v>124</v>
      </c>
      <c r="E427" s="142">
        <f>D427*1</f>
        <v>124</v>
      </c>
    </row>
    <row r="428" spans="1:5" ht="25" customHeight="1" x14ac:dyDescent="0.35">
      <c r="A428" s="15" t="s">
        <v>164</v>
      </c>
      <c r="B428" s="16" t="s">
        <v>265</v>
      </c>
      <c r="C428" s="15"/>
      <c r="D428" s="15"/>
      <c r="E428" s="152">
        <f>E429+E436+E439+E441+E456+E468+E472</f>
        <v>4753.05</v>
      </c>
    </row>
    <row r="429" spans="1:5" ht="25" customHeight="1" x14ac:dyDescent="0.35">
      <c r="A429" s="532">
        <v>1</v>
      </c>
      <c r="B429" s="10" t="s">
        <v>13</v>
      </c>
      <c r="C429" s="532"/>
      <c r="D429" s="533"/>
      <c r="E429" s="22">
        <f>SUM(E430:E432)</f>
        <v>850</v>
      </c>
    </row>
    <row r="430" spans="1:5" ht="25" customHeight="1" x14ac:dyDescent="0.35">
      <c r="A430" s="29" t="s">
        <v>22</v>
      </c>
      <c r="B430" s="18" t="s">
        <v>266</v>
      </c>
      <c r="C430" s="1" t="s">
        <v>767</v>
      </c>
      <c r="D430" s="110">
        <v>1</v>
      </c>
      <c r="E430" s="61">
        <f>D430*100</f>
        <v>100</v>
      </c>
    </row>
    <row r="431" spans="1:5" ht="25" customHeight="1" x14ac:dyDescent="0.35">
      <c r="A431" s="29" t="s">
        <v>22</v>
      </c>
      <c r="B431" s="18" t="s">
        <v>71</v>
      </c>
      <c r="C431" s="1" t="s">
        <v>767</v>
      </c>
      <c r="D431" s="110">
        <v>2</v>
      </c>
      <c r="E431" s="61">
        <f>D431*40</f>
        <v>80</v>
      </c>
    </row>
    <row r="432" spans="1:5" ht="25" customHeight="1" x14ac:dyDescent="0.35">
      <c r="A432" s="136" t="s">
        <v>69</v>
      </c>
      <c r="B432" s="18" t="s">
        <v>21</v>
      </c>
      <c r="C432" s="1"/>
      <c r="D432" s="9"/>
      <c r="E432" s="61">
        <f>SUM(E433:E435)</f>
        <v>670</v>
      </c>
    </row>
    <row r="433" spans="1:5" ht="25" customHeight="1" x14ac:dyDescent="0.35">
      <c r="A433" s="29"/>
      <c r="B433" s="30" t="s">
        <v>23</v>
      </c>
      <c r="C433" s="1" t="s">
        <v>767</v>
      </c>
      <c r="D433" s="110">
        <v>15</v>
      </c>
      <c r="E433" s="141">
        <f>D433*10</f>
        <v>150</v>
      </c>
    </row>
    <row r="434" spans="1:5" ht="25" customHeight="1" x14ac:dyDescent="0.35">
      <c r="A434" s="29"/>
      <c r="B434" s="30" t="s">
        <v>24</v>
      </c>
      <c r="C434" s="1" t="s">
        <v>767</v>
      </c>
      <c r="D434" s="110">
        <v>34</v>
      </c>
      <c r="E434" s="141">
        <f>D434*8</f>
        <v>272</v>
      </c>
    </row>
    <row r="435" spans="1:5" ht="25" customHeight="1" x14ac:dyDescent="0.35">
      <c r="A435" s="29"/>
      <c r="B435" s="30" t="s">
        <v>25</v>
      </c>
      <c r="C435" s="1" t="s">
        <v>767</v>
      </c>
      <c r="D435" s="110">
        <v>31</v>
      </c>
      <c r="E435" s="141">
        <f>D435*8</f>
        <v>248</v>
      </c>
    </row>
    <row r="436" spans="1:5" ht="25" customHeight="1" x14ac:dyDescent="0.35">
      <c r="A436" s="532">
        <v>2</v>
      </c>
      <c r="B436" s="19" t="s">
        <v>14</v>
      </c>
      <c r="C436" s="532"/>
      <c r="D436" s="533"/>
      <c r="E436" s="62">
        <f>SUM(E437:E438)</f>
        <v>942</v>
      </c>
    </row>
    <row r="437" spans="1:5" ht="25" customHeight="1" x14ac:dyDescent="0.35">
      <c r="A437" s="31"/>
      <c r="B437" s="32" t="s">
        <v>26</v>
      </c>
      <c r="C437" s="31" t="s">
        <v>789</v>
      </c>
      <c r="D437" s="44">
        <v>85</v>
      </c>
      <c r="E437" s="142">
        <f>D437*10</f>
        <v>850</v>
      </c>
    </row>
    <row r="438" spans="1:5" ht="36" customHeight="1" x14ac:dyDescent="0.35">
      <c r="A438" s="1"/>
      <c r="B438" s="32" t="s">
        <v>267</v>
      </c>
      <c r="C438" s="31" t="s">
        <v>790</v>
      </c>
      <c r="D438" s="44">
        <v>46</v>
      </c>
      <c r="E438" s="142">
        <f>D438*2</f>
        <v>92</v>
      </c>
    </row>
    <row r="439" spans="1:5" ht="25" customHeight="1" x14ac:dyDescent="0.35">
      <c r="A439" s="532">
        <v>3</v>
      </c>
      <c r="B439" s="19" t="s">
        <v>32</v>
      </c>
      <c r="C439" s="532"/>
      <c r="D439" s="533"/>
      <c r="E439" s="22">
        <f>SUM(E440:E440)</f>
        <v>91.65</v>
      </c>
    </row>
    <row r="440" spans="1:5" ht="25" customHeight="1" x14ac:dyDescent="0.35">
      <c r="A440" s="31"/>
      <c r="B440" s="32" t="s">
        <v>268</v>
      </c>
      <c r="C440" s="31" t="s">
        <v>654</v>
      </c>
      <c r="D440" s="44">
        <v>12220</v>
      </c>
      <c r="E440" s="56">
        <f>D440*5*0.0015</f>
        <v>91.65</v>
      </c>
    </row>
    <row r="441" spans="1:5" ht="25" customHeight="1" x14ac:dyDescent="0.35">
      <c r="A441" s="532">
        <v>4</v>
      </c>
      <c r="B441" s="19" t="s">
        <v>36</v>
      </c>
      <c r="C441" s="532"/>
      <c r="D441" s="533"/>
      <c r="E441" s="22">
        <f>E442+E449</f>
        <v>1819.7</v>
      </c>
    </row>
    <row r="442" spans="1:5" ht="25" customHeight="1" x14ac:dyDescent="0.35">
      <c r="A442" s="158" t="s">
        <v>69</v>
      </c>
      <c r="B442" s="19" t="s">
        <v>37</v>
      </c>
      <c r="C442" s="532"/>
      <c r="D442" s="533"/>
      <c r="E442" s="22">
        <f>SUM(E443:E448)</f>
        <v>870.1</v>
      </c>
    </row>
    <row r="443" spans="1:5" ht="25" customHeight="1" x14ac:dyDescent="0.35">
      <c r="A443" s="1"/>
      <c r="B443" s="18" t="s">
        <v>269</v>
      </c>
      <c r="C443" s="1" t="s">
        <v>654</v>
      </c>
      <c r="D443" s="9">
        <v>1530</v>
      </c>
      <c r="E443" s="57">
        <f>D443*0.5</f>
        <v>765</v>
      </c>
    </row>
    <row r="444" spans="1:5" ht="25" customHeight="1" x14ac:dyDescent="0.35">
      <c r="A444" s="1"/>
      <c r="B444" s="111" t="s">
        <v>801</v>
      </c>
      <c r="C444" s="59" t="s">
        <v>654</v>
      </c>
      <c r="D444" s="9">
        <v>900</v>
      </c>
      <c r="E444" s="57">
        <f>D444*0.05</f>
        <v>45</v>
      </c>
    </row>
    <row r="445" spans="1:5" ht="36.75" customHeight="1" x14ac:dyDescent="0.35">
      <c r="A445" s="1"/>
      <c r="B445" s="18" t="s">
        <v>818</v>
      </c>
      <c r="C445" s="1" t="s">
        <v>717</v>
      </c>
      <c r="D445" s="9">
        <v>8</v>
      </c>
      <c r="E445" s="57">
        <f>D445*6</f>
        <v>48</v>
      </c>
    </row>
    <row r="446" spans="1:5" ht="25" customHeight="1" x14ac:dyDescent="0.35">
      <c r="A446" s="1"/>
      <c r="B446" s="18" t="s">
        <v>271</v>
      </c>
      <c r="C446" s="1" t="s">
        <v>792</v>
      </c>
      <c r="D446" s="9">
        <v>42</v>
      </c>
      <c r="E446" s="57">
        <f>D446*0.05</f>
        <v>2.1</v>
      </c>
    </row>
    <row r="447" spans="1:5" ht="25" customHeight="1" x14ac:dyDescent="0.35">
      <c r="A447" s="1"/>
      <c r="B447" s="32" t="s">
        <v>272</v>
      </c>
      <c r="C447" s="31" t="s">
        <v>793</v>
      </c>
      <c r="D447" s="44">
        <v>4</v>
      </c>
      <c r="E447" s="56">
        <f>D447*0.7</f>
        <v>2.8</v>
      </c>
    </row>
    <row r="448" spans="1:5" ht="37.5" customHeight="1" x14ac:dyDescent="0.35">
      <c r="A448" s="1"/>
      <c r="B448" s="112" t="s">
        <v>273</v>
      </c>
      <c r="C448" s="59" t="s">
        <v>735</v>
      </c>
      <c r="D448" s="9">
        <v>60</v>
      </c>
      <c r="E448" s="57">
        <f>D448*0.12</f>
        <v>7.1999999999999993</v>
      </c>
    </row>
    <row r="449" spans="1:5" ht="25" customHeight="1" x14ac:dyDescent="0.35">
      <c r="A449" s="158" t="s">
        <v>69</v>
      </c>
      <c r="B449" s="19" t="s">
        <v>299</v>
      </c>
      <c r="C449" s="532"/>
      <c r="D449" s="533"/>
      <c r="E449" s="22">
        <f>SUM(E450:E455)</f>
        <v>949.6</v>
      </c>
    </row>
    <row r="450" spans="1:5" ht="25" customHeight="1" x14ac:dyDescent="0.35">
      <c r="A450" s="1"/>
      <c r="B450" s="18" t="s">
        <v>269</v>
      </c>
      <c r="C450" s="1" t="s">
        <v>654</v>
      </c>
      <c r="D450" s="9">
        <v>1510</v>
      </c>
      <c r="E450" s="57">
        <f>D450*0.5</f>
        <v>755</v>
      </c>
    </row>
    <row r="451" spans="1:5" ht="25" customHeight="1" x14ac:dyDescent="0.35">
      <c r="A451" s="1"/>
      <c r="B451" s="111" t="s">
        <v>270</v>
      </c>
      <c r="C451" s="59" t="s">
        <v>654</v>
      </c>
      <c r="D451" s="9">
        <v>2110</v>
      </c>
      <c r="E451" s="57">
        <f>D451*0.05</f>
        <v>105.5</v>
      </c>
    </row>
    <row r="452" spans="1:5" ht="33.75" customHeight="1" x14ac:dyDescent="0.35">
      <c r="A452" s="1"/>
      <c r="B452" s="18" t="s">
        <v>818</v>
      </c>
      <c r="C452" s="1" t="s">
        <v>717</v>
      </c>
      <c r="D452" s="9">
        <v>10</v>
      </c>
      <c r="E452" s="57">
        <v>60</v>
      </c>
    </row>
    <row r="453" spans="1:5" ht="25" customHeight="1" x14ac:dyDescent="0.35">
      <c r="A453" s="1"/>
      <c r="B453" s="18" t="s">
        <v>271</v>
      </c>
      <c r="C453" s="1" t="s">
        <v>792</v>
      </c>
      <c r="D453" s="9">
        <v>54</v>
      </c>
      <c r="E453" s="57">
        <f>D453*0.05</f>
        <v>2.7</v>
      </c>
    </row>
    <row r="454" spans="1:5" ht="25" customHeight="1" x14ac:dyDescent="0.35">
      <c r="A454" s="1"/>
      <c r="B454" s="32" t="s">
        <v>272</v>
      </c>
      <c r="C454" s="31" t="s">
        <v>793</v>
      </c>
      <c r="D454" s="44">
        <v>18</v>
      </c>
      <c r="E454" s="56">
        <f>D454*0.7</f>
        <v>12.6</v>
      </c>
    </row>
    <row r="455" spans="1:5" ht="49.5" customHeight="1" x14ac:dyDescent="0.35">
      <c r="A455" s="1"/>
      <c r="B455" s="18" t="s">
        <v>854</v>
      </c>
      <c r="C455" s="1" t="s">
        <v>735</v>
      </c>
      <c r="D455" s="9">
        <v>115</v>
      </c>
      <c r="E455" s="57">
        <f>D455*0.12</f>
        <v>13.799999999999999</v>
      </c>
    </row>
    <row r="456" spans="1:5" ht="25" customHeight="1" x14ac:dyDescent="0.35">
      <c r="A456" s="532" t="s">
        <v>44</v>
      </c>
      <c r="B456" s="19" t="s">
        <v>45</v>
      </c>
      <c r="C456" s="532"/>
      <c r="D456" s="533"/>
      <c r="E456" s="62">
        <f>E457+E465</f>
        <v>778</v>
      </c>
    </row>
    <row r="457" spans="1:5" ht="25" customHeight="1" x14ac:dyDescent="0.35">
      <c r="A457" s="143" t="s">
        <v>69</v>
      </c>
      <c r="B457" s="21" t="s">
        <v>46</v>
      </c>
      <c r="C457" s="20"/>
      <c r="D457" s="113"/>
      <c r="E457" s="144">
        <f>SUM(E458:E464)</f>
        <v>761</v>
      </c>
    </row>
    <row r="458" spans="1:5" ht="25" customHeight="1" x14ac:dyDescent="0.35">
      <c r="A458" s="1"/>
      <c r="B458" s="18" t="s">
        <v>82</v>
      </c>
      <c r="C458" s="1" t="s">
        <v>767</v>
      </c>
      <c r="D458" s="9">
        <v>1</v>
      </c>
      <c r="E458" s="61">
        <v>700</v>
      </c>
    </row>
    <row r="459" spans="1:5" ht="25" customHeight="1" x14ac:dyDescent="0.35">
      <c r="A459" s="1"/>
      <c r="B459" s="32" t="s">
        <v>274</v>
      </c>
      <c r="C459" s="31" t="s">
        <v>767</v>
      </c>
      <c r="D459" s="44">
        <v>1</v>
      </c>
      <c r="E459" s="142">
        <v>20</v>
      </c>
    </row>
    <row r="460" spans="1:5" ht="25" customHeight="1" x14ac:dyDescent="0.35">
      <c r="A460" s="1"/>
      <c r="B460" s="32" t="s">
        <v>85</v>
      </c>
      <c r="C460" s="31" t="s">
        <v>767</v>
      </c>
      <c r="D460" s="44">
        <v>1</v>
      </c>
      <c r="E460" s="142">
        <v>10</v>
      </c>
    </row>
    <row r="461" spans="1:5" ht="25" customHeight="1" x14ac:dyDescent="0.35">
      <c r="A461" s="1"/>
      <c r="B461" s="32" t="s">
        <v>86</v>
      </c>
      <c r="C461" s="31" t="s">
        <v>681</v>
      </c>
      <c r="D461" s="44">
        <v>1</v>
      </c>
      <c r="E461" s="142">
        <v>2</v>
      </c>
    </row>
    <row r="462" spans="1:5" ht="39" customHeight="1" x14ac:dyDescent="0.35">
      <c r="A462" s="1"/>
      <c r="B462" s="18" t="s">
        <v>275</v>
      </c>
      <c r="C462" s="1" t="s">
        <v>676</v>
      </c>
      <c r="D462" s="9">
        <v>1</v>
      </c>
      <c r="E462" s="61">
        <v>7</v>
      </c>
    </row>
    <row r="463" spans="1:5" ht="25" customHeight="1" x14ac:dyDescent="0.35">
      <c r="A463" s="1"/>
      <c r="B463" s="18" t="s">
        <v>276</v>
      </c>
      <c r="C463" s="1" t="s">
        <v>683</v>
      </c>
      <c r="D463" s="9">
        <v>8</v>
      </c>
      <c r="E463" s="61">
        <f>D463*2</f>
        <v>16</v>
      </c>
    </row>
    <row r="464" spans="1:5" ht="25" customHeight="1" x14ac:dyDescent="0.35">
      <c r="A464" s="1"/>
      <c r="B464" s="35" t="s">
        <v>54</v>
      </c>
      <c r="C464" s="420" t="s">
        <v>683</v>
      </c>
      <c r="D464" s="9">
        <v>3</v>
      </c>
      <c r="E464" s="61">
        <f>D464*2</f>
        <v>6</v>
      </c>
    </row>
    <row r="465" spans="1:5" ht="25" customHeight="1" x14ac:dyDescent="0.35">
      <c r="A465" s="143" t="s">
        <v>69</v>
      </c>
      <c r="B465" s="36" t="s">
        <v>56</v>
      </c>
      <c r="C465" s="472"/>
      <c r="D465" s="113"/>
      <c r="E465" s="144">
        <f>SUM(E466:E467)</f>
        <v>17</v>
      </c>
    </row>
    <row r="466" spans="1:5" ht="25" customHeight="1" x14ac:dyDescent="0.35">
      <c r="A466" s="1"/>
      <c r="B466" s="32" t="s">
        <v>58</v>
      </c>
      <c r="C466" s="31" t="s">
        <v>676</v>
      </c>
      <c r="D466" s="44">
        <v>1</v>
      </c>
      <c r="E466" s="142">
        <v>5</v>
      </c>
    </row>
    <row r="467" spans="1:5" ht="25" customHeight="1" x14ac:dyDescent="0.35">
      <c r="A467" s="1"/>
      <c r="B467" s="32" t="s">
        <v>59</v>
      </c>
      <c r="C467" s="31" t="s">
        <v>676</v>
      </c>
      <c r="D467" s="44">
        <v>1</v>
      </c>
      <c r="E467" s="142">
        <v>12</v>
      </c>
    </row>
    <row r="468" spans="1:5" ht="25" customHeight="1" x14ac:dyDescent="0.35">
      <c r="A468" s="532">
        <v>6</v>
      </c>
      <c r="B468" s="19" t="s">
        <v>61</v>
      </c>
      <c r="C468" s="532"/>
      <c r="D468" s="533"/>
      <c r="E468" s="22">
        <f>E469+E470+E471</f>
        <v>113.69999999999999</v>
      </c>
    </row>
    <row r="469" spans="1:5" ht="25" customHeight="1" x14ac:dyDescent="0.35">
      <c r="A469" s="1"/>
      <c r="B469" s="18" t="s">
        <v>277</v>
      </c>
      <c r="C469" s="1" t="s">
        <v>654</v>
      </c>
      <c r="D469" s="9">
        <v>100</v>
      </c>
      <c r="E469" s="61">
        <f>D469*0.09</f>
        <v>9</v>
      </c>
    </row>
    <row r="470" spans="1:5" ht="25" customHeight="1" x14ac:dyDescent="0.35">
      <c r="A470" s="1"/>
      <c r="B470" s="18" t="s">
        <v>258</v>
      </c>
      <c r="C470" s="1" t="s">
        <v>681</v>
      </c>
      <c r="D470" s="9">
        <v>23</v>
      </c>
      <c r="E470" s="139">
        <f>D470*0.3</f>
        <v>6.8999999999999995</v>
      </c>
    </row>
    <row r="471" spans="1:5" ht="25" customHeight="1" x14ac:dyDescent="0.35">
      <c r="A471" s="1"/>
      <c r="B471" s="18" t="s">
        <v>259</v>
      </c>
      <c r="C471" s="1" t="s">
        <v>654</v>
      </c>
      <c r="D471" s="9">
        <v>3260</v>
      </c>
      <c r="E471" s="139">
        <f>D471*0.03</f>
        <v>97.8</v>
      </c>
    </row>
    <row r="472" spans="1:5" ht="25" customHeight="1" x14ac:dyDescent="0.35">
      <c r="A472" s="532">
        <v>7</v>
      </c>
      <c r="B472" s="19" t="s">
        <v>66</v>
      </c>
      <c r="C472" s="532"/>
      <c r="D472" s="533"/>
      <c r="E472" s="22">
        <f>SUM(E473:E474)</f>
        <v>158</v>
      </c>
    </row>
    <row r="473" spans="1:5" ht="25" customHeight="1" x14ac:dyDescent="0.35">
      <c r="A473" s="1"/>
      <c r="B473" s="18" t="s">
        <v>278</v>
      </c>
      <c r="C473" s="1" t="s">
        <v>802</v>
      </c>
      <c r="D473" s="9">
        <v>95</v>
      </c>
      <c r="E473" s="61">
        <f>D473*1</f>
        <v>95</v>
      </c>
    </row>
    <row r="474" spans="1:5" ht="25" customHeight="1" x14ac:dyDescent="0.35">
      <c r="A474" s="1"/>
      <c r="B474" s="18" t="s">
        <v>279</v>
      </c>
      <c r="C474" s="1" t="s">
        <v>800</v>
      </c>
      <c r="D474" s="9">
        <v>9</v>
      </c>
      <c r="E474" s="61">
        <f>D474*7</f>
        <v>63</v>
      </c>
    </row>
    <row r="475" spans="1:5" ht="25" customHeight="1" x14ac:dyDescent="0.35">
      <c r="A475" s="15" t="s">
        <v>300</v>
      </c>
      <c r="B475" s="16" t="s">
        <v>280</v>
      </c>
      <c r="C475" s="15"/>
      <c r="D475" s="15"/>
      <c r="E475" s="145">
        <f>E476+E482+E487+E490+E496+E512+E514</f>
        <v>2427.4</v>
      </c>
    </row>
    <row r="476" spans="1:5" ht="25" customHeight="1" x14ac:dyDescent="0.35">
      <c r="A476" s="532">
        <v>1</v>
      </c>
      <c r="B476" s="10" t="s">
        <v>13</v>
      </c>
      <c r="C476" s="532"/>
      <c r="D476" s="10"/>
      <c r="E476" s="62">
        <f>SUM(E477:E478)</f>
        <v>648</v>
      </c>
    </row>
    <row r="477" spans="1:5" ht="25" customHeight="1" x14ac:dyDescent="0.35">
      <c r="A477" s="136" t="s">
        <v>69</v>
      </c>
      <c r="B477" s="18" t="s">
        <v>193</v>
      </c>
      <c r="C477" s="1" t="s">
        <v>767</v>
      </c>
      <c r="D477" s="18">
        <v>1</v>
      </c>
      <c r="E477" s="61">
        <v>300</v>
      </c>
    </row>
    <row r="478" spans="1:5" ht="25" customHeight="1" x14ac:dyDescent="0.35">
      <c r="A478" s="136" t="s">
        <v>69</v>
      </c>
      <c r="B478" s="18" t="s">
        <v>21</v>
      </c>
      <c r="C478" s="1"/>
      <c r="D478" s="18"/>
      <c r="E478" s="61">
        <f>SUM(E479:E481)</f>
        <v>348</v>
      </c>
    </row>
    <row r="479" spans="1:5" ht="25" customHeight="1" x14ac:dyDescent="0.35">
      <c r="A479" s="1"/>
      <c r="B479" s="30" t="s">
        <v>23</v>
      </c>
      <c r="C479" s="1" t="s">
        <v>767</v>
      </c>
      <c r="D479" s="18">
        <v>11</v>
      </c>
      <c r="E479" s="61">
        <f>D479*20</f>
        <v>220</v>
      </c>
    </row>
    <row r="480" spans="1:5" ht="25" customHeight="1" x14ac:dyDescent="0.35">
      <c r="A480" s="1"/>
      <c r="B480" s="30" t="s">
        <v>24</v>
      </c>
      <c r="C480" s="1" t="s">
        <v>767</v>
      </c>
      <c r="D480" s="18">
        <v>11</v>
      </c>
      <c r="E480" s="61">
        <f>D480*8</f>
        <v>88</v>
      </c>
    </row>
    <row r="481" spans="1:5" ht="25" customHeight="1" x14ac:dyDescent="0.35">
      <c r="A481" s="1"/>
      <c r="B481" s="30" t="s">
        <v>25</v>
      </c>
      <c r="C481" s="1" t="s">
        <v>767</v>
      </c>
      <c r="D481" s="18">
        <v>8</v>
      </c>
      <c r="E481" s="61">
        <f>D481*5</f>
        <v>40</v>
      </c>
    </row>
    <row r="482" spans="1:5" ht="25" customHeight="1" x14ac:dyDescent="0.35">
      <c r="A482" s="532">
        <v>2</v>
      </c>
      <c r="B482" s="19" t="s">
        <v>14</v>
      </c>
      <c r="C482" s="532"/>
      <c r="D482" s="19"/>
      <c r="E482" s="22">
        <f>SUM(E483:E486)</f>
        <v>534</v>
      </c>
    </row>
    <row r="483" spans="1:5" ht="25" customHeight="1" x14ac:dyDescent="0.35">
      <c r="A483" s="31"/>
      <c r="B483" s="32" t="s">
        <v>26</v>
      </c>
      <c r="C483" s="31" t="s">
        <v>789</v>
      </c>
      <c r="D483" s="32">
        <v>41</v>
      </c>
      <c r="E483" s="142">
        <f>D483*10</f>
        <v>410</v>
      </c>
    </row>
    <row r="484" spans="1:5" ht="25" customHeight="1" x14ac:dyDescent="0.35">
      <c r="A484" s="1"/>
      <c r="B484" s="32" t="s">
        <v>281</v>
      </c>
      <c r="C484" s="31" t="s">
        <v>790</v>
      </c>
      <c r="D484" s="32">
        <v>7</v>
      </c>
      <c r="E484" s="142">
        <v>55</v>
      </c>
    </row>
    <row r="485" spans="1:5" ht="25" customHeight="1" x14ac:dyDescent="0.35">
      <c r="A485" s="1"/>
      <c r="B485" s="32" t="s">
        <v>282</v>
      </c>
      <c r="C485" s="31" t="s">
        <v>791</v>
      </c>
      <c r="D485" s="32">
        <v>12</v>
      </c>
      <c r="E485" s="142">
        <f>D485*4</f>
        <v>48</v>
      </c>
    </row>
    <row r="486" spans="1:5" ht="25" customHeight="1" x14ac:dyDescent="0.35">
      <c r="A486" s="1"/>
      <c r="B486" s="32" t="s">
        <v>283</v>
      </c>
      <c r="C486" s="31" t="s">
        <v>791</v>
      </c>
      <c r="D486" s="32">
        <v>14</v>
      </c>
      <c r="E486" s="61">
        <f>D486*1.5</f>
        <v>21</v>
      </c>
    </row>
    <row r="487" spans="1:5" ht="25" customHeight="1" x14ac:dyDescent="0.35">
      <c r="A487" s="532">
        <v>3</v>
      </c>
      <c r="B487" s="19" t="s">
        <v>32</v>
      </c>
      <c r="C487" s="532"/>
      <c r="D487" s="19"/>
      <c r="E487" s="22">
        <f>SUM(E488:E489)</f>
        <v>22.8</v>
      </c>
    </row>
    <row r="488" spans="1:5" ht="36.75" customHeight="1" x14ac:dyDescent="0.35">
      <c r="A488" s="31"/>
      <c r="B488" s="32" t="s">
        <v>284</v>
      </c>
      <c r="C488" s="31" t="s">
        <v>654</v>
      </c>
      <c r="D488" s="32">
        <v>1040</v>
      </c>
      <c r="E488" s="56">
        <f>D488*5*0.0015</f>
        <v>7.8</v>
      </c>
    </row>
    <row r="489" spans="1:5" ht="24.75" customHeight="1" x14ac:dyDescent="0.35">
      <c r="A489" s="31"/>
      <c r="B489" s="32" t="s">
        <v>285</v>
      </c>
      <c r="C489" s="31" t="s">
        <v>717</v>
      </c>
      <c r="D489" s="32">
        <v>3</v>
      </c>
      <c r="E489" s="56">
        <v>15</v>
      </c>
    </row>
    <row r="490" spans="1:5" ht="25" customHeight="1" x14ac:dyDescent="0.35">
      <c r="A490" s="532">
        <v>4</v>
      </c>
      <c r="B490" s="19" t="s">
        <v>204</v>
      </c>
      <c r="C490" s="532"/>
      <c r="D490" s="19"/>
      <c r="E490" s="22">
        <f>SUM(E491:E495)</f>
        <v>324.60000000000002</v>
      </c>
    </row>
    <row r="491" spans="1:5" ht="31.5" customHeight="1" x14ac:dyDescent="0.35">
      <c r="A491" s="1"/>
      <c r="B491" s="18" t="s">
        <v>286</v>
      </c>
      <c r="C491" s="1" t="s">
        <v>735</v>
      </c>
      <c r="D491" s="18">
        <v>80</v>
      </c>
      <c r="E491" s="57">
        <f>D491*0.12</f>
        <v>9.6</v>
      </c>
    </row>
    <row r="492" spans="1:5" ht="25" customHeight="1" x14ac:dyDescent="0.35">
      <c r="A492" s="1"/>
      <c r="B492" s="18" t="s">
        <v>271</v>
      </c>
      <c r="C492" s="1" t="s">
        <v>792</v>
      </c>
      <c r="D492" s="18">
        <v>180</v>
      </c>
      <c r="E492" s="57">
        <f>D492*0.05</f>
        <v>9</v>
      </c>
    </row>
    <row r="493" spans="1:5" ht="25" customHeight="1" x14ac:dyDescent="0.35">
      <c r="A493" s="1"/>
      <c r="B493" s="18" t="s">
        <v>287</v>
      </c>
      <c r="C493" s="1" t="s">
        <v>654</v>
      </c>
      <c r="D493" s="32">
        <v>500</v>
      </c>
      <c r="E493" s="56">
        <f>D493*0.52</f>
        <v>260</v>
      </c>
    </row>
    <row r="494" spans="1:5" ht="25" customHeight="1" x14ac:dyDescent="0.35">
      <c r="A494" s="1"/>
      <c r="B494" s="18" t="s">
        <v>288</v>
      </c>
      <c r="C494" s="1" t="s">
        <v>654</v>
      </c>
      <c r="D494" s="18">
        <v>300</v>
      </c>
      <c r="E494" s="57">
        <v>21</v>
      </c>
    </row>
    <row r="495" spans="1:5" ht="36.75" customHeight="1" x14ac:dyDescent="0.35">
      <c r="A495" s="1"/>
      <c r="B495" s="18" t="s">
        <v>818</v>
      </c>
      <c r="C495" s="1" t="s">
        <v>717</v>
      </c>
      <c r="D495" s="18">
        <v>5</v>
      </c>
      <c r="E495" s="57">
        <v>25</v>
      </c>
    </row>
    <row r="496" spans="1:5" ht="25" customHeight="1" x14ac:dyDescent="0.35">
      <c r="A496" s="532">
        <v>5</v>
      </c>
      <c r="B496" s="19" t="s">
        <v>45</v>
      </c>
      <c r="C496" s="532"/>
      <c r="D496" s="19"/>
      <c r="E496" s="22">
        <f>E497+E508</f>
        <v>852.6</v>
      </c>
    </row>
    <row r="497" spans="1:5" ht="25" customHeight="1" x14ac:dyDescent="0.35">
      <c r="A497" s="532" t="s">
        <v>22</v>
      </c>
      <c r="B497" s="19" t="s">
        <v>46</v>
      </c>
      <c r="C497" s="532"/>
      <c r="D497" s="19"/>
      <c r="E497" s="22">
        <f>SUM(E498:E507)</f>
        <v>787.6</v>
      </c>
    </row>
    <row r="498" spans="1:5" ht="25" customHeight="1" x14ac:dyDescent="0.35">
      <c r="A498" s="1"/>
      <c r="B498" s="18" t="s">
        <v>290</v>
      </c>
      <c r="C498" s="1" t="s">
        <v>767</v>
      </c>
      <c r="D498" s="18">
        <v>1</v>
      </c>
      <c r="E498" s="61">
        <v>700</v>
      </c>
    </row>
    <row r="499" spans="1:5" ht="25" customHeight="1" x14ac:dyDescent="0.35">
      <c r="A499" s="1"/>
      <c r="B499" s="18" t="s">
        <v>57</v>
      </c>
      <c r="C499" s="1" t="s">
        <v>735</v>
      </c>
      <c r="D499" s="18">
        <v>30</v>
      </c>
      <c r="E499" s="57">
        <f>D499*0.12</f>
        <v>3.5999999999999996</v>
      </c>
    </row>
    <row r="500" spans="1:5" ht="25" customHeight="1" x14ac:dyDescent="0.35">
      <c r="A500" s="1"/>
      <c r="B500" s="18" t="s">
        <v>274</v>
      </c>
      <c r="C500" s="1" t="s">
        <v>767</v>
      </c>
      <c r="D500" s="18">
        <v>1</v>
      </c>
      <c r="E500" s="61">
        <v>20</v>
      </c>
    </row>
    <row r="501" spans="1:5" ht="25" customHeight="1" x14ac:dyDescent="0.35">
      <c r="A501" s="1"/>
      <c r="B501" s="18" t="s">
        <v>85</v>
      </c>
      <c r="C501" s="1" t="s">
        <v>767</v>
      </c>
      <c r="D501" s="18">
        <v>1</v>
      </c>
      <c r="E501" s="61">
        <v>10</v>
      </c>
    </row>
    <row r="502" spans="1:5" ht="25" customHeight="1" x14ac:dyDescent="0.35">
      <c r="A502" s="1"/>
      <c r="B502" s="18" t="s">
        <v>86</v>
      </c>
      <c r="C502" s="1" t="s">
        <v>681</v>
      </c>
      <c r="D502" s="18">
        <v>1</v>
      </c>
      <c r="E502" s="61">
        <v>3</v>
      </c>
    </row>
    <row r="503" spans="1:5" ht="58.5" customHeight="1" x14ac:dyDescent="0.35">
      <c r="A503" s="1"/>
      <c r="B503" s="18" t="s">
        <v>87</v>
      </c>
      <c r="C503" s="1" t="s">
        <v>676</v>
      </c>
      <c r="D503" s="18">
        <v>1</v>
      </c>
      <c r="E503" s="61">
        <v>15</v>
      </c>
    </row>
    <row r="504" spans="1:5" ht="25" customHeight="1" x14ac:dyDescent="0.35">
      <c r="A504" s="1"/>
      <c r="B504" s="18" t="s">
        <v>51</v>
      </c>
      <c r="C504" s="1" t="s">
        <v>676</v>
      </c>
      <c r="D504" s="18">
        <v>1</v>
      </c>
      <c r="E504" s="61">
        <v>10</v>
      </c>
    </row>
    <row r="505" spans="1:5" ht="25" customHeight="1" x14ac:dyDescent="0.35">
      <c r="A505" s="1"/>
      <c r="B505" s="35" t="s">
        <v>292</v>
      </c>
      <c r="C505" s="420" t="s">
        <v>683</v>
      </c>
      <c r="D505" s="18">
        <v>1</v>
      </c>
      <c r="E505" s="61">
        <v>2</v>
      </c>
    </row>
    <row r="506" spans="1:5" ht="25" customHeight="1" x14ac:dyDescent="0.35">
      <c r="A506" s="1"/>
      <c r="B506" s="35" t="s">
        <v>293</v>
      </c>
      <c r="C506" s="420" t="s">
        <v>683</v>
      </c>
      <c r="D506" s="18">
        <v>2</v>
      </c>
      <c r="E506" s="61">
        <v>4</v>
      </c>
    </row>
    <row r="507" spans="1:5" ht="25" customHeight="1" x14ac:dyDescent="0.35">
      <c r="A507" s="1"/>
      <c r="B507" s="35" t="s">
        <v>88</v>
      </c>
      <c r="C507" s="420" t="s">
        <v>683</v>
      </c>
      <c r="D507" s="18">
        <v>40</v>
      </c>
      <c r="E507" s="61">
        <v>20</v>
      </c>
    </row>
    <row r="508" spans="1:5" ht="25" customHeight="1" x14ac:dyDescent="0.3">
      <c r="A508" s="136" t="s">
        <v>69</v>
      </c>
      <c r="B508" s="560" t="s">
        <v>56</v>
      </c>
      <c r="C508" s="561"/>
      <c r="D508" s="18"/>
      <c r="E508" s="62">
        <f>SUM(E509:E511)</f>
        <v>65</v>
      </c>
    </row>
    <row r="509" spans="1:5" ht="25" customHeight="1" x14ac:dyDescent="0.35">
      <c r="A509" s="1"/>
      <c r="B509" s="18" t="s">
        <v>90</v>
      </c>
      <c r="C509" s="1" t="s">
        <v>796</v>
      </c>
      <c r="D509" s="18">
        <v>1</v>
      </c>
      <c r="E509" s="61">
        <v>10</v>
      </c>
    </row>
    <row r="510" spans="1:5" ht="25" customHeight="1" x14ac:dyDescent="0.35">
      <c r="A510" s="1"/>
      <c r="B510" s="18" t="s">
        <v>289</v>
      </c>
      <c r="C510" s="1" t="s">
        <v>795</v>
      </c>
      <c r="D510" s="18">
        <v>1</v>
      </c>
      <c r="E510" s="61">
        <v>50</v>
      </c>
    </row>
    <row r="511" spans="1:5" ht="25" customHeight="1" x14ac:dyDescent="0.35">
      <c r="A511" s="1"/>
      <c r="B511" s="18" t="s">
        <v>291</v>
      </c>
      <c r="C511" s="1" t="s">
        <v>676</v>
      </c>
      <c r="D511" s="18">
        <v>2</v>
      </c>
      <c r="E511" s="61">
        <v>5</v>
      </c>
    </row>
    <row r="512" spans="1:5" ht="25" customHeight="1" x14ac:dyDescent="0.35">
      <c r="A512" s="532">
        <v>6</v>
      </c>
      <c r="B512" s="19" t="s">
        <v>61</v>
      </c>
      <c r="C512" s="532"/>
      <c r="D512" s="19"/>
      <c r="E512" s="481">
        <f>E513</f>
        <v>11.4</v>
      </c>
    </row>
    <row r="513" spans="1:5" ht="25" customHeight="1" x14ac:dyDescent="0.35">
      <c r="A513" s="532"/>
      <c r="B513" s="18" t="s">
        <v>258</v>
      </c>
      <c r="C513" s="1" t="s">
        <v>681</v>
      </c>
      <c r="D513" s="18">
        <v>38</v>
      </c>
      <c r="E513" s="139">
        <f>D513*0.3</f>
        <v>11.4</v>
      </c>
    </row>
    <row r="514" spans="1:5" ht="25" customHeight="1" x14ac:dyDescent="0.35">
      <c r="A514" s="532">
        <v>7</v>
      </c>
      <c r="B514" s="19" t="s">
        <v>66</v>
      </c>
      <c r="C514" s="532"/>
      <c r="D514" s="19"/>
      <c r="E514" s="481">
        <f>SUM(E515:E515)</f>
        <v>34</v>
      </c>
    </row>
    <row r="515" spans="1:5" ht="25" customHeight="1" x14ac:dyDescent="0.35">
      <c r="A515" s="1"/>
      <c r="B515" s="18" t="s">
        <v>278</v>
      </c>
      <c r="C515" s="1" t="s">
        <v>802</v>
      </c>
      <c r="D515" s="18">
        <v>34</v>
      </c>
      <c r="E515" s="61">
        <f>D515*1</f>
        <v>34</v>
      </c>
    </row>
  </sheetData>
  <mergeCells count="7">
    <mergeCell ref="D2:E2"/>
    <mergeCell ref="A1:E1"/>
    <mergeCell ref="A3:A4"/>
    <mergeCell ref="B3:B4"/>
    <mergeCell ref="D3:D4"/>
    <mergeCell ref="E3:E4"/>
    <mergeCell ref="C3:C4"/>
  </mergeCells>
  <pageMargins left="0.44" right="0.25" top="0.54" bottom="0.38" header="0.3" footer="0.66"/>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zoomScale="120" zoomScaleNormal="120" workbookViewId="0">
      <pane ySplit="4" topLeftCell="A53" activePane="bottomLeft" state="frozen"/>
      <selection pane="bottomLeft" activeCell="B56" sqref="B56"/>
    </sheetView>
  </sheetViews>
  <sheetFormatPr defaultRowHeight="14.5" x14ac:dyDescent="0.35"/>
  <cols>
    <col min="1" max="1" width="4.54296875" customWidth="1"/>
    <col min="2" max="2" width="49" customWidth="1"/>
    <col min="3" max="3" width="15.453125" customWidth="1"/>
    <col min="4" max="4" width="11.1796875" customWidth="1"/>
    <col min="5" max="5" width="11" hidden="1" customWidth="1"/>
    <col min="6" max="6" width="19" hidden="1" customWidth="1"/>
    <col min="7" max="7" width="13.7265625" hidden="1" customWidth="1"/>
    <col min="8" max="8" width="0" hidden="1" customWidth="1"/>
  </cols>
  <sheetData>
    <row r="1" spans="1:8" ht="37.5" customHeight="1" x14ac:dyDescent="0.35">
      <c r="A1" s="586" t="s">
        <v>456</v>
      </c>
      <c r="B1" s="586"/>
      <c r="C1" s="586"/>
      <c r="D1" s="586"/>
      <c r="E1" s="586"/>
      <c r="F1" s="586"/>
      <c r="G1" s="586"/>
    </row>
    <row r="2" spans="1:8" ht="23.5" customHeight="1" x14ac:dyDescent="0.35">
      <c r="A2" s="588" t="s">
        <v>0</v>
      </c>
      <c r="B2" s="588" t="s">
        <v>369</v>
      </c>
      <c r="C2" s="588" t="s">
        <v>12</v>
      </c>
      <c r="D2" s="588" t="s">
        <v>9</v>
      </c>
      <c r="E2" s="587" t="s">
        <v>370</v>
      </c>
      <c r="F2" s="587"/>
      <c r="G2" s="587"/>
      <c r="H2" s="581" t="s">
        <v>647</v>
      </c>
    </row>
    <row r="3" spans="1:8" ht="15" hidden="1" customHeight="1" x14ac:dyDescent="0.35">
      <c r="A3" s="589"/>
      <c r="B3" s="589"/>
      <c r="C3" s="589"/>
      <c r="D3" s="589"/>
      <c r="E3" s="584" t="s">
        <v>2</v>
      </c>
      <c r="F3" s="585"/>
      <c r="G3" s="591" t="s">
        <v>5</v>
      </c>
      <c r="H3" s="582"/>
    </row>
    <row r="4" spans="1:8" ht="15" hidden="1" x14ac:dyDescent="0.35">
      <c r="A4" s="590"/>
      <c r="B4" s="590"/>
      <c r="C4" s="590"/>
      <c r="D4" s="590"/>
      <c r="E4" s="227" t="s">
        <v>3</v>
      </c>
      <c r="F4" s="227" t="s">
        <v>4</v>
      </c>
      <c r="G4" s="592"/>
      <c r="H4" s="583"/>
    </row>
    <row r="5" spans="1:8" ht="15" x14ac:dyDescent="0.35">
      <c r="A5" s="584" t="s">
        <v>371</v>
      </c>
      <c r="B5" s="585"/>
      <c r="C5" s="228"/>
      <c r="D5" s="229">
        <f>D6+D11+D26+D28+D37+D43+D46+D48+D51+D53</f>
        <v>45093</v>
      </c>
      <c r="E5" s="229" t="e">
        <f>E6+E11+E26+E28+E37+E43+E46+E48+E51+E53+#REF!</f>
        <v>#REF!</v>
      </c>
      <c r="F5" s="229" t="e">
        <f>F6+F11+F26+F28+F37+F43+F46+F48+F51+F53+#REF!</f>
        <v>#REF!</v>
      </c>
      <c r="G5" s="229" t="e">
        <f>G6+G11+G26+G28+G37+G43+G46+G48+G51+G53+#REF!</f>
        <v>#REF!</v>
      </c>
      <c r="H5" s="424"/>
    </row>
    <row r="6" spans="1:8" ht="15" x14ac:dyDescent="0.35">
      <c r="A6" s="249">
        <v>1</v>
      </c>
      <c r="B6" s="250" t="s">
        <v>372</v>
      </c>
      <c r="C6" s="249"/>
      <c r="D6" s="254">
        <f>D7+D8+D9+D10</f>
        <v>177</v>
      </c>
      <c r="E6" s="254">
        <f t="shared" ref="E6:G6" si="0">E7+E8+E9+E10</f>
        <v>142</v>
      </c>
      <c r="F6" s="254"/>
      <c r="G6" s="254">
        <f t="shared" si="0"/>
        <v>35</v>
      </c>
      <c r="H6" s="424"/>
    </row>
    <row r="7" spans="1:8" ht="47.25" customHeight="1" x14ac:dyDescent="0.35">
      <c r="A7" s="227" t="s">
        <v>69</v>
      </c>
      <c r="B7" s="248" t="s">
        <v>457</v>
      </c>
      <c r="C7" s="232" t="s">
        <v>92</v>
      </c>
      <c r="D7" s="255">
        <v>130</v>
      </c>
      <c r="E7" s="256">
        <v>130</v>
      </c>
      <c r="F7" s="163" t="s">
        <v>373</v>
      </c>
      <c r="G7" s="256"/>
      <c r="H7" s="424"/>
    </row>
    <row r="8" spans="1:8" ht="47.25" customHeight="1" x14ac:dyDescent="0.35">
      <c r="A8" s="227" t="s">
        <v>69</v>
      </c>
      <c r="B8" s="231" t="s">
        <v>458</v>
      </c>
      <c r="C8" s="232" t="s">
        <v>374</v>
      </c>
      <c r="D8" s="255">
        <v>7</v>
      </c>
      <c r="E8" s="256">
        <v>7</v>
      </c>
      <c r="F8" s="256" t="s">
        <v>97</v>
      </c>
      <c r="G8" s="256"/>
      <c r="H8" s="424"/>
    </row>
    <row r="9" spans="1:8" ht="47.25" customHeight="1" x14ac:dyDescent="0.35">
      <c r="A9" s="227" t="s">
        <v>69</v>
      </c>
      <c r="B9" s="231" t="s">
        <v>459</v>
      </c>
      <c r="C9" s="232" t="s">
        <v>375</v>
      </c>
      <c r="D9" s="255">
        <v>5</v>
      </c>
      <c r="E9" s="256">
        <v>5</v>
      </c>
      <c r="F9" s="256" t="s">
        <v>97</v>
      </c>
      <c r="G9" s="256"/>
      <c r="H9" s="424"/>
    </row>
    <row r="10" spans="1:8" ht="47.25" customHeight="1" x14ac:dyDescent="0.35">
      <c r="A10" s="227" t="s">
        <v>69</v>
      </c>
      <c r="B10" s="231" t="s">
        <v>460</v>
      </c>
      <c r="C10" s="232" t="s">
        <v>376</v>
      </c>
      <c r="D10" s="255">
        <v>35</v>
      </c>
      <c r="E10" s="256"/>
      <c r="F10" s="256"/>
      <c r="G10" s="256">
        <v>35</v>
      </c>
      <c r="H10" s="424"/>
    </row>
    <row r="11" spans="1:8" ht="25.5" customHeight="1" x14ac:dyDescent="0.35">
      <c r="A11" s="251">
        <v>2</v>
      </c>
      <c r="B11" s="252" t="s">
        <v>11</v>
      </c>
      <c r="C11" s="253"/>
      <c r="D11" s="254">
        <f>D12+D15+D18+D21+D24</f>
        <v>17435</v>
      </c>
      <c r="E11" s="254" t="e">
        <f>E12+E15+E18+E21+E24</f>
        <v>#REF!</v>
      </c>
      <c r="F11" s="254">
        <f>F12+F15+F18+F21+F24</f>
        <v>0</v>
      </c>
      <c r="G11" s="254" t="e">
        <f>G12+G15+G18+G21+G24</f>
        <v>#REF!</v>
      </c>
      <c r="H11" s="424"/>
    </row>
    <row r="12" spans="1:8" ht="25.5" customHeight="1" x14ac:dyDescent="0.35">
      <c r="A12" s="227" t="s">
        <v>377</v>
      </c>
      <c r="B12" s="230" t="s">
        <v>378</v>
      </c>
      <c r="C12" s="227"/>
      <c r="D12" s="257">
        <f>D13+D14</f>
        <v>15100</v>
      </c>
      <c r="E12" s="257">
        <f t="shared" ref="E12:G12" si="1">E13+E14</f>
        <v>0</v>
      </c>
      <c r="F12" s="257"/>
      <c r="G12" s="257">
        <f t="shared" si="1"/>
        <v>15100</v>
      </c>
      <c r="H12" s="424"/>
    </row>
    <row r="13" spans="1:8" ht="47.25" customHeight="1" x14ac:dyDescent="0.35">
      <c r="A13" s="234" t="s">
        <v>69</v>
      </c>
      <c r="B13" s="235" t="s">
        <v>379</v>
      </c>
      <c r="C13" s="236" t="s">
        <v>380</v>
      </c>
      <c r="D13" s="256">
        <v>15000</v>
      </c>
      <c r="E13" s="259"/>
      <c r="F13" s="259"/>
      <c r="G13" s="256">
        <f>D13</f>
        <v>15000</v>
      </c>
      <c r="H13" s="424"/>
    </row>
    <row r="14" spans="1:8" ht="47.25" customHeight="1" x14ac:dyDescent="0.35">
      <c r="A14" s="234" t="s">
        <v>69</v>
      </c>
      <c r="B14" s="235" t="s">
        <v>381</v>
      </c>
      <c r="C14" s="236" t="s">
        <v>382</v>
      </c>
      <c r="D14" s="258">
        <v>100</v>
      </c>
      <c r="E14" s="256"/>
      <c r="F14" s="256"/>
      <c r="G14" s="256">
        <f>D14</f>
        <v>100</v>
      </c>
      <c r="H14" s="424"/>
    </row>
    <row r="15" spans="1:8" ht="21" customHeight="1" x14ac:dyDescent="0.35">
      <c r="A15" s="227" t="s">
        <v>383</v>
      </c>
      <c r="B15" s="230" t="s">
        <v>384</v>
      </c>
      <c r="C15" s="227"/>
      <c r="D15" s="260">
        <f>D16+D17</f>
        <v>870</v>
      </c>
      <c r="E15" s="260" t="e">
        <f>E16+E17+#REF!</f>
        <v>#REF!</v>
      </c>
      <c r="F15" s="260"/>
      <c r="G15" s="260" t="e">
        <f>G16+G17+#REF!</f>
        <v>#REF!</v>
      </c>
      <c r="H15" s="424"/>
    </row>
    <row r="16" spans="1:8" ht="47.25" customHeight="1" x14ac:dyDescent="0.35">
      <c r="A16" s="234" t="s">
        <v>69</v>
      </c>
      <c r="B16" s="235" t="s">
        <v>385</v>
      </c>
      <c r="C16" s="236" t="s">
        <v>386</v>
      </c>
      <c r="D16" s="258">
        <v>820</v>
      </c>
      <c r="E16" s="258">
        <v>820</v>
      </c>
      <c r="F16" s="256" t="s">
        <v>387</v>
      </c>
      <c r="G16" s="259"/>
      <c r="H16" s="424"/>
    </row>
    <row r="17" spans="1:8" ht="47.25" customHeight="1" x14ac:dyDescent="0.35">
      <c r="A17" s="234" t="s">
        <v>69</v>
      </c>
      <c r="B17" s="235" t="s">
        <v>388</v>
      </c>
      <c r="C17" s="236" t="s">
        <v>389</v>
      </c>
      <c r="D17" s="258">
        <v>50</v>
      </c>
      <c r="E17" s="258"/>
      <c r="F17" s="259"/>
      <c r="G17" s="256">
        <v>50</v>
      </c>
      <c r="H17" s="424"/>
    </row>
    <row r="18" spans="1:8" ht="18" customHeight="1" x14ac:dyDescent="0.35">
      <c r="A18" s="227" t="s">
        <v>391</v>
      </c>
      <c r="B18" s="230" t="s">
        <v>392</v>
      </c>
      <c r="C18" s="227"/>
      <c r="D18" s="261">
        <f>D19+D20</f>
        <v>576</v>
      </c>
      <c r="E18" s="261">
        <f t="shared" ref="E18:G18" si="2">E19+E20</f>
        <v>556</v>
      </c>
      <c r="F18" s="261"/>
      <c r="G18" s="261">
        <f t="shared" si="2"/>
        <v>20</v>
      </c>
      <c r="H18" s="424"/>
    </row>
    <row r="19" spans="1:8" ht="47.25" customHeight="1" x14ac:dyDescent="0.35">
      <c r="A19" s="234" t="s">
        <v>69</v>
      </c>
      <c r="B19" s="235" t="s">
        <v>393</v>
      </c>
      <c r="C19" s="236" t="s">
        <v>394</v>
      </c>
      <c r="D19" s="258">
        <v>556</v>
      </c>
      <c r="E19" s="258">
        <v>556</v>
      </c>
      <c r="F19" s="256" t="s">
        <v>387</v>
      </c>
      <c r="G19" s="258"/>
      <c r="H19" s="424"/>
    </row>
    <row r="20" spans="1:8" ht="47.25" customHeight="1" x14ac:dyDescent="0.35">
      <c r="A20" s="238" t="s">
        <v>69</v>
      </c>
      <c r="B20" s="239" t="s">
        <v>395</v>
      </c>
      <c r="C20" s="240" t="s">
        <v>396</v>
      </c>
      <c r="D20" s="262">
        <v>20</v>
      </c>
      <c r="E20" s="262"/>
      <c r="F20" s="258"/>
      <c r="G20" s="258">
        <v>20</v>
      </c>
      <c r="H20" s="424"/>
    </row>
    <row r="21" spans="1:8" ht="17.25" customHeight="1" x14ac:dyDescent="0.35">
      <c r="A21" s="241" t="s">
        <v>397</v>
      </c>
      <c r="B21" s="242" t="s">
        <v>398</v>
      </c>
      <c r="C21" s="236"/>
      <c r="D21" s="258">
        <f>D22+D23</f>
        <v>99</v>
      </c>
      <c r="E21" s="258">
        <f t="shared" ref="E21:G21" si="3">E22+E23</f>
        <v>80</v>
      </c>
      <c r="F21" s="258"/>
      <c r="G21" s="258">
        <f t="shared" si="3"/>
        <v>19</v>
      </c>
      <c r="H21" s="424"/>
    </row>
    <row r="22" spans="1:8" ht="47.25" customHeight="1" x14ac:dyDescent="0.35">
      <c r="A22" s="238" t="s">
        <v>69</v>
      </c>
      <c r="B22" s="239" t="s">
        <v>399</v>
      </c>
      <c r="C22" s="236" t="s">
        <v>400</v>
      </c>
      <c r="D22" s="258">
        <v>80</v>
      </c>
      <c r="E22" s="258">
        <v>80</v>
      </c>
      <c r="F22" s="262" t="s">
        <v>387</v>
      </c>
      <c r="G22" s="258"/>
      <c r="H22" s="424"/>
    </row>
    <row r="23" spans="1:8" ht="47.25" customHeight="1" x14ac:dyDescent="0.35">
      <c r="A23" s="238" t="s">
        <v>69</v>
      </c>
      <c r="B23" s="239" t="s">
        <v>401</v>
      </c>
      <c r="C23" s="236" t="s">
        <v>402</v>
      </c>
      <c r="D23" s="258">
        <v>19</v>
      </c>
      <c r="E23" s="258"/>
      <c r="F23" s="258"/>
      <c r="G23" s="258">
        <v>19</v>
      </c>
      <c r="H23" s="424"/>
    </row>
    <row r="24" spans="1:8" ht="33.75" customHeight="1" x14ac:dyDescent="0.35">
      <c r="A24" s="227" t="s">
        <v>403</v>
      </c>
      <c r="B24" s="230" t="s">
        <v>404</v>
      </c>
      <c r="C24" s="227"/>
      <c r="D24" s="261">
        <f>D25</f>
        <v>790</v>
      </c>
      <c r="E24" s="261" t="e">
        <f>E25+#REF!</f>
        <v>#REF!</v>
      </c>
      <c r="F24" s="261"/>
      <c r="G24" s="261" t="e">
        <f>G25+#REF!</f>
        <v>#REF!</v>
      </c>
      <c r="H24" s="424"/>
    </row>
    <row r="25" spans="1:8" ht="47.25" customHeight="1" x14ac:dyDescent="0.35">
      <c r="A25" s="234" t="s">
        <v>69</v>
      </c>
      <c r="B25" s="235" t="s">
        <v>405</v>
      </c>
      <c r="C25" s="236" t="s">
        <v>406</v>
      </c>
      <c r="D25" s="258">
        <v>790</v>
      </c>
      <c r="E25" s="258">
        <v>790</v>
      </c>
      <c r="F25" s="256" t="s">
        <v>407</v>
      </c>
      <c r="G25" s="258"/>
      <c r="H25" s="424"/>
    </row>
    <row r="26" spans="1:8" ht="15" customHeight="1" x14ac:dyDescent="0.35">
      <c r="A26" s="251">
        <v>3</v>
      </c>
      <c r="B26" s="252" t="s">
        <v>309</v>
      </c>
      <c r="C26" s="251"/>
      <c r="D26" s="254">
        <f>D27</f>
        <v>1200</v>
      </c>
      <c r="E26" s="254">
        <f t="shared" ref="E26:G26" si="4">E27</f>
        <v>0</v>
      </c>
      <c r="F26" s="254">
        <f t="shared" si="4"/>
        <v>0</v>
      </c>
      <c r="G26" s="254">
        <f t="shared" si="4"/>
        <v>1200</v>
      </c>
      <c r="H26" s="424"/>
    </row>
    <row r="27" spans="1:8" ht="60" customHeight="1" x14ac:dyDescent="0.35">
      <c r="A27" s="234" t="s">
        <v>69</v>
      </c>
      <c r="B27" s="235" t="s">
        <v>408</v>
      </c>
      <c r="C27" s="236" t="s">
        <v>409</v>
      </c>
      <c r="D27" s="258">
        <v>1200</v>
      </c>
      <c r="E27" s="258"/>
      <c r="F27" s="258"/>
      <c r="G27" s="258">
        <v>1200</v>
      </c>
      <c r="H27" s="424"/>
    </row>
    <row r="28" spans="1:8" ht="30.75" customHeight="1" x14ac:dyDescent="0.35">
      <c r="A28" s="251">
        <v>4</v>
      </c>
      <c r="B28" s="252" t="s">
        <v>143</v>
      </c>
      <c r="C28" s="251" t="s">
        <v>410</v>
      </c>
      <c r="D28" s="254">
        <f>D29+D32</f>
        <v>3900</v>
      </c>
      <c r="E28" s="254">
        <f t="shared" ref="E28:G28" si="5">E29+E32</f>
        <v>0</v>
      </c>
      <c r="F28" s="254">
        <f t="shared" si="5"/>
        <v>0</v>
      </c>
      <c r="G28" s="254">
        <f t="shared" si="5"/>
        <v>3900</v>
      </c>
      <c r="H28" s="424"/>
    </row>
    <row r="29" spans="1:8" ht="27" customHeight="1" x14ac:dyDescent="0.35">
      <c r="A29" s="227" t="s">
        <v>411</v>
      </c>
      <c r="B29" s="230" t="s">
        <v>145</v>
      </c>
      <c r="C29" s="227" t="s">
        <v>412</v>
      </c>
      <c r="D29" s="261">
        <f>D30+D31</f>
        <v>450</v>
      </c>
      <c r="E29" s="261">
        <f t="shared" ref="E29:G29" si="6">E30+E31</f>
        <v>0</v>
      </c>
      <c r="F29" s="261">
        <f t="shared" si="6"/>
        <v>0</v>
      </c>
      <c r="G29" s="261">
        <f t="shared" si="6"/>
        <v>450</v>
      </c>
      <c r="H29" s="424"/>
    </row>
    <row r="30" spans="1:8" ht="86.25" customHeight="1" x14ac:dyDescent="0.35">
      <c r="A30" s="227"/>
      <c r="B30" s="237" t="s">
        <v>413</v>
      </c>
      <c r="C30" s="236" t="s">
        <v>414</v>
      </c>
      <c r="D30" s="258">
        <v>250</v>
      </c>
      <c r="E30" s="261"/>
      <c r="F30" s="261"/>
      <c r="G30" s="261">
        <v>250</v>
      </c>
      <c r="H30" s="424"/>
    </row>
    <row r="31" spans="1:8" ht="63" customHeight="1" x14ac:dyDescent="0.35">
      <c r="A31" s="234" t="s">
        <v>69</v>
      </c>
      <c r="B31" s="237" t="s">
        <v>415</v>
      </c>
      <c r="C31" s="236" t="s">
        <v>416</v>
      </c>
      <c r="D31" s="258">
        <v>200</v>
      </c>
      <c r="E31" s="258"/>
      <c r="F31" s="258"/>
      <c r="G31" s="258">
        <v>200</v>
      </c>
      <c r="H31" s="424"/>
    </row>
    <row r="32" spans="1:8" ht="23.25" customHeight="1" x14ac:dyDescent="0.35">
      <c r="A32" s="227" t="s">
        <v>417</v>
      </c>
      <c r="B32" s="230" t="s">
        <v>147</v>
      </c>
      <c r="C32" s="227" t="s">
        <v>412</v>
      </c>
      <c r="D32" s="257">
        <f>D33+D34+D35+D36</f>
        <v>3450</v>
      </c>
      <c r="E32" s="257">
        <f t="shared" ref="E32:G32" si="7">E33+E34+E35+E36</f>
        <v>0</v>
      </c>
      <c r="F32" s="257"/>
      <c r="G32" s="257">
        <f t="shared" si="7"/>
        <v>3450</v>
      </c>
      <c r="H32" s="424"/>
    </row>
    <row r="33" spans="1:8" ht="77.5" x14ac:dyDescent="0.35">
      <c r="A33" s="234" t="s">
        <v>69</v>
      </c>
      <c r="B33" s="237" t="s">
        <v>418</v>
      </c>
      <c r="C33" s="236" t="s">
        <v>419</v>
      </c>
      <c r="D33" s="256">
        <v>1500</v>
      </c>
      <c r="E33" s="256"/>
      <c r="F33" s="256"/>
      <c r="G33" s="256">
        <f>D33</f>
        <v>1500</v>
      </c>
      <c r="H33" s="424"/>
    </row>
    <row r="34" spans="1:8" ht="77.5" x14ac:dyDescent="0.35">
      <c r="A34" s="234" t="s">
        <v>69</v>
      </c>
      <c r="B34" s="237" t="s">
        <v>420</v>
      </c>
      <c r="C34" s="236" t="s">
        <v>421</v>
      </c>
      <c r="D34" s="256">
        <v>1200</v>
      </c>
      <c r="E34" s="256"/>
      <c r="F34" s="256"/>
      <c r="G34" s="256">
        <f t="shared" ref="G34:G36" si="8">D34</f>
        <v>1200</v>
      </c>
      <c r="H34" s="424"/>
    </row>
    <row r="35" spans="1:8" ht="27.75" customHeight="1" x14ac:dyDescent="0.35">
      <c r="A35" s="234" t="s">
        <v>69</v>
      </c>
      <c r="B35" s="237" t="s">
        <v>422</v>
      </c>
      <c r="C35" s="236" t="s">
        <v>423</v>
      </c>
      <c r="D35" s="258">
        <v>250</v>
      </c>
      <c r="E35" s="258"/>
      <c r="F35" s="258"/>
      <c r="G35" s="258">
        <f t="shared" si="8"/>
        <v>250</v>
      </c>
      <c r="H35" s="424"/>
    </row>
    <row r="36" spans="1:8" ht="32.25" customHeight="1" x14ac:dyDescent="0.35">
      <c r="A36" s="234" t="s">
        <v>69</v>
      </c>
      <c r="B36" s="237" t="s">
        <v>424</v>
      </c>
      <c r="C36" s="236" t="s">
        <v>425</v>
      </c>
      <c r="D36" s="258">
        <v>500</v>
      </c>
      <c r="E36" s="258"/>
      <c r="F36" s="258"/>
      <c r="G36" s="258">
        <f t="shared" si="8"/>
        <v>500</v>
      </c>
      <c r="H36" s="424"/>
    </row>
    <row r="37" spans="1:8" ht="26.25" customHeight="1" x14ac:dyDescent="0.35">
      <c r="A37" s="251">
        <v>5</v>
      </c>
      <c r="B37" s="252" t="s">
        <v>154</v>
      </c>
      <c r="C37" s="251"/>
      <c r="D37" s="254">
        <f>D38+D39+D41+D42+D40</f>
        <v>9650</v>
      </c>
      <c r="E37" s="254">
        <f t="shared" ref="E37:G37" si="9">E38+E39+E41+E42+E40</f>
        <v>0</v>
      </c>
      <c r="F37" s="254">
        <f t="shared" si="9"/>
        <v>0</v>
      </c>
      <c r="G37" s="254">
        <f t="shared" si="9"/>
        <v>9650</v>
      </c>
      <c r="H37" s="424"/>
    </row>
    <row r="38" spans="1:8" ht="62" x14ac:dyDescent="0.35">
      <c r="A38" s="234" t="s">
        <v>69</v>
      </c>
      <c r="B38" s="235" t="s">
        <v>426</v>
      </c>
      <c r="C38" s="236"/>
      <c r="D38" s="256">
        <v>7500</v>
      </c>
      <c r="E38" s="256"/>
      <c r="F38" s="256"/>
      <c r="G38" s="256">
        <f>D38-E38</f>
        <v>7500</v>
      </c>
      <c r="H38" s="424"/>
    </row>
    <row r="39" spans="1:8" ht="108.5" x14ac:dyDescent="0.35">
      <c r="A39" s="234" t="s">
        <v>69</v>
      </c>
      <c r="B39" s="235" t="s">
        <v>427</v>
      </c>
      <c r="C39" s="236"/>
      <c r="D39" s="258">
        <v>500</v>
      </c>
      <c r="E39" s="258"/>
      <c r="F39" s="258"/>
      <c r="G39" s="258">
        <v>500</v>
      </c>
      <c r="H39" s="424"/>
    </row>
    <row r="40" spans="1:8" ht="47.25" customHeight="1" x14ac:dyDescent="0.35">
      <c r="A40" s="234" t="s">
        <v>69</v>
      </c>
      <c r="B40" s="235" t="s">
        <v>428</v>
      </c>
      <c r="C40" s="236" t="s">
        <v>429</v>
      </c>
      <c r="D40" s="258">
        <v>250</v>
      </c>
      <c r="E40" s="258"/>
      <c r="F40" s="258"/>
      <c r="G40" s="258">
        <v>250</v>
      </c>
      <c r="H40" s="424"/>
    </row>
    <row r="41" spans="1:8" ht="62" x14ac:dyDescent="0.35">
      <c r="A41" s="234" t="s">
        <v>69</v>
      </c>
      <c r="B41" s="235" t="s">
        <v>430</v>
      </c>
      <c r="C41" s="236" t="s">
        <v>151</v>
      </c>
      <c r="D41" s="258">
        <v>200</v>
      </c>
      <c r="E41" s="258"/>
      <c r="F41" s="258"/>
      <c r="G41" s="258">
        <v>200</v>
      </c>
      <c r="H41" s="424"/>
    </row>
    <row r="42" spans="1:8" ht="47.25" customHeight="1" x14ac:dyDescent="0.35">
      <c r="A42" s="234" t="s">
        <v>69</v>
      </c>
      <c r="B42" s="235" t="s">
        <v>827</v>
      </c>
      <c r="C42" s="236" t="s">
        <v>157</v>
      </c>
      <c r="D42" s="256">
        <v>1200</v>
      </c>
      <c r="E42" s="258"/>
      <c r="F42" s="258"/>
      <c r="G42" s="258">
        <v>1200</v>
      </c>
      <c r="H42" s="424"/>
    </row>
    <row r="43" spans="1:8" ht="24" customHeight="1" x14ac:dyDescent="0.35">
      <c r="A43" s="249">
        <v>6</v>
      </c>
      <c r="B43" s="250" t="s">
        <v>431</v>
      </c>
      <c r="C43" s="249"/>
      <c r="D43" s="263">
        <f>D44+D45</f>
        <v>45</v>
      </c>
      <c r="E43" s="263">
        <f t="shared" ref="E43:G43" si="10">E44+E45</f>
        <v>45</v>
      </c>
      <c r="F43" s="263"/>
      <c r="G43" s="263">
        <f t="shared" si="10"/>
        <v>0</v>
      </c>
      <c r="H43" s="424"/>
    </row>
    <row r="44" spans="1:8" ht="77.5" x14ac:dyDescent="0.35">
      <c r="A44" s="234" t="s">
        <v>69</v>
      </c>
      <c r="B44" s="235" t="s">
        <v>432</v>
      </c>
      <c r="C44" s="236" t="s">
        <v>433</v>
      </c>
      <c r="D44" s="258">
        <v>20</v>
      </c>
      <c r="E44" s="258">
        <v>20</v>
      </c>
      <c r="F44" s="258" t="s">
        <v>68</v>
      </c>
      <c r="G44" s="258"/>
      <c r="H44" s="424"/>
    </row>
    <row r="45" spans="1:8" ht="47.25" customHeight="1" x14ac:dyDescent="0.35">
      <c r="A45" s="234" t="s">
        <v>69</v>
      </c>
      <c r="B45" s="235" t="s">
        <v>434</v>
      </c>
      <c r="C45" s="236" t="s">
        <v>435</v>
      </c>
      <c r="D45" s="258">
        <v>25</v>
      </c>
      <c r="E45" s="258">
        <v>25</v>
      </c>
      <c r="F45" s="258" t="s">
        <v>68</v>
      </c>
      <c r="G45" s="258"/>
      <c r="H45" s="424"/>
    </row>
    <row r="46" spans="1:8" ht="30" customHeight="1" x14ac:dyDescent="0.35">
      <c r="A46" s="249">
        <v>7</v>
      </c>
      <c r="B46" s="250" t="s">
        <v>436</v>
      </c>
      <c r="C46" s="249"/>
      <c r="D46" s="263">
        <f>D47</f>
        <v>339</v>
      </c>
      <c r="E46" s="263"/>
      <c r="F46" s="263"/>
      <c r="G46" s="263">
        <f t="shared" ref="G46" si="11">G47</f>
        <v>339</v>
      </c>
      <c r="H46" s="424"/>
    </row>
    <row r="47" spans="1:8" ht="62" x14ac:dyDescent="0.35">
      <c r="A47" s="243" t="s">
        <v>69</v>
      </c>
      <c r="B47" s="235" t="s">
        <v>437</v>
      </c>
      <c r="C47" s="227"/>
      <c r="D47" s="261">
        <v>339</v>
      </c>
      <c r="E47" s="261"/>
      <c r="F47" s="261"/>
      <c r="G47" s="261">
        <v>339</v>
      </c>
      <c r="H47" s="424"/>
    </row>
    <row r="48" spans="1:8" ht="26.25" customHeight="1" x14ac:dyDescent="0.35">
      <c r="A48" s="251">
        <v>8</v>
      </c>
      <c r="B48" s="252" t="s">
        <v>438</v>
      </c>
      <c r="C48" s="251"/>
      <c r="D48" s="254">
        <f>D49+D50</f>
        <v>7650</v>
      </c>
      <c r="E48" s="254">
        <f t="shared" ref="E48:G48" si="12">E49+E50</f>
        <v>1850</v>
      </c>
      <c r="F48" s="254"/>
      <c r="G48" s="254">
        <f t="shared" si="12"/>
        <v>5800</v>
      </c>
      <c r="H48" s="424"/>
    </row>
    <row r="49" spans="1:8" ht="54.75" customHeight="1" x14ac:dyDescent="0.35">
      <c r="A49" s="234" t="s">
        <v>69</v>
      </c>
      <c r="B49" s="235" t="s">
        <v>439</v>
      </c>
      <c r="C49" s="236" t="s">
        <v>440</v>
      </c>
      <c r="D49" s="256">
        <f>32*120</f>
        <v>3840</v>
      </c>
      <c r="E49" s="256">
        <f>32*20</f>
        <v>640</v>
      </c>
      <c r="F49" s="256" t="s">
        <v>68</v>
      </c>
      <c r="G49" s="256">
        <f>D49-E49</f>
        <v>3200</v>
      </c>
      <c r="H49" s="424"/>
    </row>
    <row r="50" spans="1:8" ht="77.5" x14ac:dyDescent="0.35">
      <c r="A50" s="234" t="s">
        <v>69</v>
      </c>
      <c r="B50" s="235" t="s">
        <v>441</v>
      </c>
      <c r="C50" s="236" t="s">
        <v>442</v>
      </c>
      <c r="D50" s="256">
        <f>47*30+(264+216)*5</f>
        <v>3810</v>
      </c>
      <c r="E50" s="256">
        <v>1210</v>
      </c>
      <c r="F50" s="256" t="s">
        <v>68</v>
      </c>
      <c r="G50" s="256">
        <f>D50-E50</f>
        <v>2600</v>
      </c>
      <c r="H50" s="424"/>
    </row>
    <row r="51" spans="1:8" ht="30.75" customHeight="1" x14ac:dyDescent="0.35">
      <c r="A51" s="249">
        <v>10</v>
      </c>
      <c r="B51" s="250" t="s">
        <v>443</v>
      </c>
      <c r="C51" s="249"/>
      <c r="D51" s="263">
        <f>D52</f>
        <v>100</v>
      </c>
      <c r="E51" s="263"/>
      <c r="F51" s="263"/>
      <c r="G51" s="263">
        <f t="shared" ref="G51" si="13">G52</f>
        <v>100</v>
      </c>
      <c r="H51" s="424"/>
    </row>
    <row r="52" spans="1:8" ht="47.25" customHeight="1" x14ac:dyDescent="0.35">
      <c r="A52" s="234" t="s">
        <v>69</v>
      </c>
      <c r="B52" s="235" t="s">
        <v>444</v>
      </c>
      <c r="C52" s="236">
        <v>1</v>
      </c>
      <c r="D52" s="258">
        <v>100</v>
      </c>
      <c r="E52" s="258"/>
      <c r="F52" s="258"/>
      <c r="G52" s="258">
        <v>100</v>
      </c>
      <c r="H52" s="424"/>
    </row>
    <row r="53" spans="1:8" ht="27" customHeight="1" x14ac:dyDescent="0.35">
      <c r="A53" s="251">
        <v>11</v>
      </c>
      <c r="B53" s="252" t="s">
        <v>445</v>
      </c>
      <c r="C53" s="251"/>
      <c r="D53" s="254">
        <f>D54+D55+D56+D57+D58+D59</f>
        <v>4597</v>
      </c>
      <c r="E53" s="254">
        <f t="shared" ref="E53:G53" si="14">E54+E55+E56+E57+E58+E59</f>
        <v>1394</v>
      </c>
      <c r="F53" s="254"/>
      <c r="G53" s="254">
        <f t="shared" si="14"/>
        <v>3203</v>
      </c>
      <c r="H53" s="424"/>
    </row>
    <row r="54" spans="1:8" ht="47.25" customHeight="1" x14ac:dyDescent="0.35">
      <c r="A54" s="234" t="s">
        <v>69</v>
      </c>
      <c r="B54" s="235" t="s">
        <v>446</v>
      </c>
      <c r="C54" s="236" t="s">
        <v>447</v>
      </c>
      <c r="D54" s="258">
        <f>89*5</f>
        <v>445</v>
      </c>
      <c r="E54" s="258"/>
      <c r="F54" s="258"/>
      <c r="G54" s="258">
        <f>D54</f>
        <v>445</v>
      </c>
      <c r="H54" s="424"/>
    </row>
    <row r="55" spans="1:8" ht="47.25" customHeight="1" x14ac:dyDescent="0.35">
      <c r="A55" s="234" t="s">
        <v>69</v>
      </c>
      <c r="B55" s="244" t="s">
        <v>448</v>
      </c>
      <c r="C55" s="245" t="s">
        <v>449</v>
      </c>
      <c r="D55" s="264">
        <v>30</v>
      </c>
      <c r="E55" s="264"/>
      <c r="F55" s="258"/>
      <c r="G55" s="258">
        <v>30</v>
      </c>
      <c r="H55" s="424"/>
    </row>
    <row r="56" spans="1:8" ht="62" x14ac:dyDescent="0.35">
      <c r="A56" s="234" t="s">
        <v>69</v>
      </c>
      <c r="B56" s="235" t="s">
        <v>450</v>
      </c>
      <c r="C56" s="236"/>
      <c r="D56" s="256">
        <v>3672</v>
      </c>
      <c r="E56" s="258">
        <v>1374</v>
      </c>
      <c r="F56" s="258" t="s">
        <v>165</v>
      </c>
      <c r="G56" s="258">
        <f>D56-E56</f>
        <v>2298</v>
      </c>
      <c r="H56" s="424"/>
    </row>
    <row r="57" spans="1:8" ht="47.25" customHeight="1" x14ac:dyDescent="0.35">
      <c r="A57" s="234" t="s">
        <v>69</v>
      </c>
      <c r="B57" s="246" t="s">
        <v>451</v>
      </c>
      <c r="C57" s="236" t="s">
        <v>122</v>
      </c>
      <c r="D57" s="258">
        <v>195</v>
      </c>
      <c r="E57" s="258">
        <v>10</v>
      </c>
      <c r="F57" s="258" t="s">
        <v>97</v>
      </c>
      <c r="G57" s="258">
        <v>185</v>
      </c>
      <c r="H57" s="424"/>
    </row>
    <row r="58" spans="1:8" ht="47.25" customHeight="1" x14ac:dyDescent="0.35">
      <c r="A58" s="234" t="s">
        <v>69</v>
      </c>
      <c r="B58" s="235" t="s">
        <v>452</v>
      </c>
      <c r="C58" s="236" t="s">
        <v>453</v>
      </c>
      <c r="D58" s="258">
        <v>245</v>
      </c>
      <c r="E58" s="258">
        <v>10</v>
      </c>
      <c r="F58" s="258" t="s">
        <v>97</v>
      </c>
      <c r="G58" s="258">
        <v>235</v>
      </c>
      <c r="H58" s="424"/>
    </row>
    <row r="59" spans="1:8" ht="47.25" customHeight="1" x14ac:dyDescent="0.35">
      <c r="A59" s="234" t="s">
        <v>69</v>
      </c>
      <c r="B59" s="247" t="s">
        <v>454</v>
      </c>
      <c r="C59" s="236" t="s">
        <v>455</v>
      </c>
      <c r="D59" s="258">
        <v>10</v>
      </c>
      <c r="E59" s="258"/>
      <c r="F59" s="258"/>
      <c r="G59" s="258">
        <v>10</v>
      </c>
      <c r="H59" s="424"/>
    </row>
  </sheetData>
  <mergeCells count="10">
    <mergeCell ref="H2:H4"/>
    <mergeCell ref="A5:B5"/>
    <mergeCell ref="A1:G1"/>
    <mergeCell ref="A2:A4"/>
    <mergeCell ref="B2:B4"/>
    <mergeCell ref="C2:C4"/>
    <mergeCell ref="D2:D4"/>
    <mergeCell ref="E2:G2"/>
    <mergeCell ref="E3:F3"/>
    <mergeCell ref="G3:G4"/>
  </mergeCells>
  <pageMargins left="0.7" right="0.1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62"/>
  <sheetViews>
    <sheetView topLeftCell="A131" workbookViewId="0">
      <selection activeCell="B149" sqref="B149"/>
    </sheetView>
  </sheetViews>
  <sheetFormatPr defaultRowHeight="14.5" x14ac:dyDescent="0.35"/>
  <cols>
    <col min="1" max="1" width="6.1796875" customWidth="1"/>
    <col min="2" max="2" width="40.54296875" customWidth="1"/>
    <col min="3" max="3" width="14.26953125" style="483" customWidth="1"/>
    <col min="4" max="4" width="13.453125" customWidth="1"/>
    <col min="5" max="5" width="16" customWidth="1"/>
  </cols>
  <sheetData>
    <row r="1" spans="1:7" ht="46.5" customHeight="1" x14ac:dyDescent="0.35">
      <c r="A1" s="593" t="s">
        <v>811</v>
      </c>
      <c r="B1" s="593"/>
      <c r="C1" s="593"/>
      <c r="D1" s="593"/>
      <c r="E1" s="593"/>
    </row>
    <row r="2" spans="1:7" ht="15.5" x14ac:dyDescent="0.35">
      <c r="A2" s="2"/>
      <c r="B2" s="5"/>
      <c r="C2" s="2"/>
      <c r="D2" s="5"/>
      <c r="E2" s="8" t="s">
        <v>6</v>
      </c>
    </row>
    <row r="3" spans="1:7" ht="15.75" customHeight="1" x14ac:dyDescent="0.35">
      <c r="A3" s="574" t="s">
        <v>0</v>
      </c>
      <c r="B3" s="574" t="s">
        <v>1</v>
      </c>
      <c r="C3" s="575" t="s">
        <v>645</v>
      </c>
      <c r="D3" s="575" t="s">
        <v>12</v>
      </c>
      <c r="E3" s="577" t="s">
        <v>9</v>
      </c>
    </row>
    <row r="4" spans="1:7" ht="15.75" customHeight="1" x14ac:dyDescent="0.35">
      <c r="A4" s="574"/>
      <c r="B4" s="574"/>
      <c r="C4" s="576"/>
      <c r="D4" s="576"/>
      <c r="E4" s="577"/>
    </row>
    <row r="5" spans="1:7" ht="23.25" customHeight="1" x14ac:dyDescent="0.35">
      <c r="A5" s="11" t="s">
        <v>16</v>
      </c>
      <c r="B5" s="12" t="s">
        <v>192</v>
      </c>
      <c r="C5" s="13"/>
      <c r="D5" s="13"/>
      <c r="E5" s="296">
        <f>E6+E43+E82+E124</f>
        <v>13242.428</v>
      </c>
    </row>
    <row r="6" spans="1:7" ht="23.25" customHeight="1" x14ac:dyDescent="0.35">
      <c r="A6" s="15" t="s">
        <v>7</v>
      </c>
      <c r="B6" s="16" t="s">
        <v>18</v>
      </c>
      <c r="C6" s="17"/>
      <c r="D6" s="17"/>
      <c r="E6" s="297">
        <f>E7+E14+E24+E28+E33+E39+E41</f>
        <v>2464.3000000000002</v>
      </c>
    </row>
    <row r="7" spans="1:7" ht="23.25" customHeight="1" x14ac:dyDescent="0.35">
      <c r="A7" s="72">
        <v>1</v>
      </c>
      <c r="B7" s="10" t="s">
        <v>13</v>
      </c>
      <c r="C7" s="84"/>
      <c r="D7" s="72"/>
      <c r="E7" s="284">
        <f>SUM(E8:E10)</f>
        <v>1193</v>
      </c>
    </row>
    <row r="8" spans="1:7" ht="23.25" customHeight="1" x14ac:dyDescent="0.35">
      <c r="A8" s="136" t="s">
        <v>69</v>
      </c>
      <c r="B8" s="18" t="s">
        <v>193</v>
      </c>
      <c r="C8" s="1" t="s">
        <v>767</v>
      </c>
      <c r="D8" s="240">
        <v>3</v>
      </c>
      <c r="E8" s="285">
        <v>210</v>
      </c>
      <c r="F8" s="271"/>
      <c r="G8" s="271"/>
    </row>
    <row r="9" spans="1:7" ht="23.25" customHeight="1" x14ac:dyDescent="0.35">
      <c r="A9" s="136" t="s">
        <v>69</v>
      </c>
      <c r="B9" s="18" t="s">
        <v>71</v>
      </c>
      <c r="C9" s="1" t="s">
        <v>767</v>
      </c>
      <c r="D9" s="31">
        <v>6</v>
      </c>
      <c r="E9" s="287">
        <v>48</v>
      </c>
      <c r="F9" s="271"/>
      <c r="G9" s="271"/>
    </row>
    <row r="10" spans="1:7" ht="23.25" customHeight="1" x14ac:dyDescent="0.35">
      <c r="A10" s="136" t="s">
        <v>69</v>
      </c>
      <c r="B10" s="18" t="s">
        <v>21</v>
      </c>
      <c r="C10" s="1"/>
      <c r="D10" s="1"/>
      <c r="E10" s="287">
        <f>SUM(E11:E13)</f>
        <v>935</v>
      </c>
      <c r="F10" s="271"/>
      <c r="G10" s="271"/>
    </row>
    <row r="11" spans="1:7" ht="20.25" customHeight="1" x14ac:dyDescent="0.35">
      <c r="A11" s="1"/>
      <c r="B11" s="30" t="s">
        <v>462</v>
      </c>
      <c r="C11" s="29" t="s">
        <v>767</v>
      </c>
      <c r="D11" s="1">
        <v>68</v>
      </c>
      <c r="E11" s="287">
        <v>340</v>
      </c>
      <c r="F11" s="271"/>
      <c r="G11" s="271"/>
    </row>
    <row r="12" spans="1:7" ht="20.25" customHeight="1" x14ac:dyDescent="0.35">
      <c r="A12" s="87"/>
      <c r="B12" s="30" t="s">
        <v>25</v>
      </c>
      <c r="C12" s="1" t="s">
        <v>767</v>
      </c>
      <c r="D12" s="1">
        <v>56</v>
      </c>
      <c r="E12" s="287">
        <v>280</v>
      </c>
      <c r="F12" s="271"/>
      <c r="G12" s="271"/>
    </row>
    <row r="13" spans="1:7" ht="20.25" customHeight="1" x14ac:dyDescent="0.35">
      <c r="A13" s="1"/>
      <c r="B13" s="30" t="s">
        <v>24</v>
      </c>
      <c r="C13" s="1" t="s">
        <v>767</v>
      </c>
      <c r="D13" s="1">
        <v>63</v>
      </c>
      <c r="E13" s="287">
        <v>315</v>
      </c>
      <c r="F13" s="271"/>
      <c r="G13" s="271"/>
    </row>
    <row r="14" spans="1:7" ht="23.25" customHeight="1" x14ac:dyDescent="0.35">
      <c r="A14" s="72">
        <v>2</v>
      </c>
      <c r="B14" s="19" t="s">
        <v>14</v>
      </c>
      <c r="C14" s="84"/>
      <c r="D14" s="72"/>
      <c r="E14" s="284">
        <f>E15+E19</f>
        <v>278</v>
      </c>
      <c r="F14" s="271"/>
      <c r="G14" s="271"/>
    </row>
    <row r="15" spans="1:7" ht="23.25" customHeight="1" x14ac:dyDescent="0.35">
      <c r="A15" s="72"/>
      <c r="B15" s="19" t="s">
        <v>194</v>
      </c>
      <c r="C15" s="84"/>
      <c r="D15" s="1"/>
      <c r="E15" s="287">
        <f>SUM(E16:E18)</f>
        <v>115</v>
      </c>
      <c r="F15" s="271"/>
      <c r="G15" s="271"/>
    </row>
    <row r="16" spans="1:7" ht="23.25" customHeight="1" x14ac:dyDescent="0.35">
      <c r="A16" s="1" t="s">
        <v>69</v>
      </c>
      <c r="B16" s="18" t="s">
        <v>26</v>
      </c>
      <c r="C16" s="1" t="s">
        <v>789</v>
      </c>
      <c r="D16" s="1">
        <v>42</v>
      </c>
      <c r="E16" s="287">
        <v>84</v>
      </c>
      <c r="F16" s="271"/>
      <c r="G16" s="271"/>
    </row>
    <row r="17" spans="1:7" ht="23.25" customHeight="1" x14ac:dyDescent="0.35">
      <c r="A17" s="136" t="s">
        <v>69</v>
      </c>
      <c r="B17" s="18" t="s">
        <v>219</v>
      </c>
      <c r="C17" s="1" t="s">
        <v>717</v>
      </c>
      <c r="D17" s="1">
        <v>2</v>
      </c>
      <c r="E17" s="287">
        <v>16</v>
      </c>
      <c r="F17" s="271"/>
      <c r="G17" s="271"/>
    </row>
    <row r="18" spans="1:7" ht="23.25" customHeight="1" x14ac:dyDescent="0.35">
      <c r="A18" s="136"/>
      <c r="B18" s="18" t="s">
        <v>220</v>
      </c>
      <c r="C18" s="1" t="s">
        <v>735</v>
      </c>
      <c r="D18" s="31">
        <v>500</v>
      </c>
      <c r="E18" s="289">
        <v>15</v>
      </c>
      <c r="F18" s="271"/>
      <c r="G18" s="271"/>
    </row>
    <row r="19" spans="1:7" ht="23.25" customHeight="1" x14ac:dyDescent="0.35">
      <c r="A19" s="72"/>
      <c r="B19" s="51" t="s">
        <v>196</v>
      </c>
      <c r="C19" s="86"/>
      <c r="D19" s="31"/>
      <c r="E19" s="284">
        <f>E20+E23</f>
        <v>163</v>
      </c>
      <c r="F19" s="271"/>
      <c r="G19" s="271"/>
    </row>
    <row r="20" spans="1:7" ht="23.25" customHeight="1" x14ac:dyDescent="0.35">
      <c r="A20" s="136" t="s">
        <v>69</v>
      </c>
      <c r="B20" s="32" t="s">
        <v>197</v>
      </c>
      <c r="C20" s="31"/>
      <c r="D20" s="31"/>
      <c r="E20" s="287">
        <v>136</v>
      </c>
      <c r="F20" s="271"/>
      <c r="G20" s="271"/>
    </row>
    <row r="21" spans="1:7" ht="23.25" customHeight="1" x14ac:dyDescent="0.35">
      <c r="A21" s="136" t="s">
        <v>198</v>
      </c>
      <c r="B21" s="32" t="s">
        <v>28</v>
      </c>
      <c r="C21" s="31" t="s">
        <v>790</v>
      </c>
      <c r="D21" s="31">
        <v>15</v>
      </c>
      <c r="E21" s="287">
        <v>60</v>
      </c>
      <c r="F21" s="271"/>
      <c r="G21" s="271"/>
    </row>
    <row r="22" spans="1:7" ht="23.25" customHeight="1" x14ac:dyDescent="0.35">
      <c r="A22" s="136" t="s">
        <v>198</v>
      </c>
      <c r="B22" s="18" t="s">
        <v>199</v>
      </c>
      <c r="C22" s="1" t="s">
        <v>790</v>
      </c>
      <c r="D22" s="1">
        <v>38</v>
      </c>
      <c r="E22" s="287">
        <v>76</v>
      </c>
    </row>
    <row r="23" spans="1:7" ht="23.25" customHeight="1" x14ac:dyDescent="0.35">
      <c r="A23" s="136" t="s">
        <v>69</v>
      </c>
      <c r="B23" s="18" t="s">
        <v>200</v>
      </c>
      <c r="C23" s="1" t="s">
        <v>791</v>
      </c>
      <c r="D23" s="1">
        <v>54</v>
      </c>
      <c r="E23" s="287">
        <v>27</v>
      </c>
    </row>
    <row r="24" spans="1:7" ht="23.25" customHeight="1" x14ac:dyDescent="0.35">
      <c r="A24" s="72">
        <v>3</v>
      </c>
      <c r="B24" s="19" t="s">
        <v>32</v>
      </c>
      <c r="C24" s="84"/>
      <c r="D24" s="33"/>
      <c r="E24" s="287">
        <f>SUM(E25:E27)</f>
        <v>55</v>
      </c>
    </row>
    <row r="25" spans="1:7" ht="23.25" customHeight="1" x14ac:dyDescent="0.35">
      <c r="A25" s="136" t="s">
        <v>69</v>
      </c>
      <c r="B25" s="18" t="s">
        <v>201</v>
      </c>
      <c r="C25" s="1" t="s">
        <v>654</v>
      </c>
      <c r="D25" s="1">
        <v>10000</v>
      </c>
      <c r="E25" s="287">
        <v>10</v>
      </c>
    </row>
    <row r="26" spans="1:7" ht="23.25" customHeight="1" x14ac:dyDescent="0.35">
      <c r="A26" s="136" t="s">
        <v>69</v>
      </c>
      <c r="B26" s="18" t="s">
        <v>202</v>
      </c>
      <c r="C26" s="1" t="s">
        <v>739</v>
      </c>
      <c r="D26" s="1">
        <v>500</v>
      </c>
      <c r="E26" s="287">
        <v>35</v>
      </c>
    </row>
    <row r="27" spans="1:7" ht="23.25" customHeight="1" x14ac:dyDescent="0.35">
      <c r="A27" s="136" t="s">
        <v>69</v>
      </c>
      <c r="B27" s="18" t="s">
        <v>203</v>
      </c>
      <c r="C27" s="1" t="s">
        <v>654</v>
      </c>
      <c r="D27" s="1">
        <v>50</v>
      </c>
      <c r="E27" s="287">
        <v>10</v>
      </c>
    </row>
    <row r="28" spans="1:7" ht="23.25" customHeight="1" x14ac:dyDescent="0.35">
      <c r="A28" s="72">
        <v>4</v>
      </c>
      <c r="B28" s="19" t="s">
        <v>204</v>
      </c>
      <c r="C28" s="84"/>
      <c r="D28" s="31"/>
      <c r="E28" s="182">
        <f>SUM(E29:E32)</f>
        <v>784.80000000000007</v>
      </c>
    </row>
    <row r="29" spans="1:7" ht="23.25" customHeight="1" x14ac:dyDescent="0.35">
      <c r="A29" s="234" t="s">
        <v>69</v>
      </c>
      <c r="B29" s="237" t="s">
        <v>205</v>
      </c>
      <c r="C29" s="236" t="s">
        <v>654</v>
      </c>
      <c r="D29" s="26">
        <v>294.00000000000006</v>
      </c>
      <c r="E29" s="185">
        <v>352.80000000000007</v>
      </c>
    </row>
    <row r="30" spans="1:7" ht="23.25" customHeight="1" x14ac:dyDescent="0.35">
      <c r="A30" s="234" t="s">
        <v>69</v>
      </c>
      <c r="B30" s="237" t="s">
        <v>206</v>
      </c>
      <c r="C30" s="236" t="s">
        <v>654</v>
      </c>
      <c r="D30" s="26">
        <v>180</v>
      </c>
      <c r="E30" s="288">
        <v>72</v>
      </c>
    </row>
    <row r="31" spans="1:7" ht="32.25" customHeight="1" x14ac:dyDescent="0.35">
      <c r="A31" s="234" t="s">
        <v>69</v>
      </c>
      <c r="B31" s="18" t="s">
        <v>818</v>
      </c>
      <c r="C31" s="236" t="s">
        <v>717</v>
      </c>
      <c r="D31" s="31">
        <v>10</v>
      </c>
      <c r="E31" s="289">
        <v>80</v>
      </c>
    </row>
    <row r="32" spans="1:7" ht="23.25" customHeight="1" x14ac:dyDescent="0.35">
      <c r="A32" s="234" t="s">
        <v>69</v>
      </c>
      <c r="B32" s="237" t="s">
        <v>208</v>
      </c>
      <c r="C32" s="236" t="s">
        <v>654</v>
      </c>
      <c r="D32" s="31">
        <v>400</v>
      </c>
      <c r="E32" s="289">
        <v>280</v>
      </c>
    </row>
    <row r="33" spans="1:5" ht="23.25" customHeight="1" x14ac:dyDescent="0.35">
      <c r="A33" s="158">
        <v>5</v>
      </c>
      <c r="B33" s="19" t="s">
        <v>211</v>
      </c>
      <c r="C33" s="84"/>
      <c r="D33" s="31"/>
      <c r="E33" s="182">
        <f>SUM(E34:E38)</f>
        <v>34.5</v>
      </c>
    </row>
    <row r="34" spans="1:5" ht="23.25" customHeight="1" x14ac:dyDescent="0.35">
      <c r="A34" s="234" t="s">
        <v>69</v>
      </c>
      <c r="B34" s="237" t="s">
        <v>221</v>
      </c>
      <c r="C34" s="236"/>
      <c r="D34" s="72"/>
      <c r="E34" s="287">
        <v>5</v>
      </c>
    </row>
    <row r="35" spans="1:5" ht="23.25" customHeight="1" x14ac:dyDescent="0.35">
      <c r="A35" s="234" t="s">
        <v>69</v>
      </c>
      <c r="B35" s="237" t="s">
        <v>213</v>
      </c>
      <c r="C35" s="236" t="s">
        <v>767</v>
      </c>
      <c r="D35" s="31">
        <v>1</v>
      </c>
      <c r="E35" s="287">
        <v>20</v>
      </c>
    </row>
    <row r="36" spans="1:5" ht="23.25" customHeight="1" x14ac:dyDescent="0.35">
      <c r="A36" s="234" t="s">
        <v>69</v>
      </c>
      <c r="B36" s="237" t="s">
        <v>214</v>
      </c>
      <c r="C36" s="236" t="s">
        <v>683</v>
      </c>
      <c r="D36" s="1">
        <v>1</v>
      </c>
      <c r="E36" s="287">
        <v>3</v>
      </c>
    </row>
    <row r="37" spans="1:5" ht="23.25" customHeight="1" x14ac:dyDescent="0.35">
      <c r="A37" s="234" t="s">
        <v>69</v>
      </c>
      <c r="B37" s="237" t="s">
        <v>215</v>
      </c>
      <c r="C37" s="236" t="s">
        <v>803</v>
      </c>
      <c r="D37" s="1">
        <v>5</v>
      </c>
      <c r="E37" s="287">
        <v>5</v>
      </c>
    </row>
    <row r="38" spans="1:5" ht="34.5" customHeight="1" x14ac:dyDescent="0.35">
      <c r="A38" s="234" t="s">
        <v>69</v>
      </c>
      <c r="B38" s="237" t="s">
        <v>216</v>
      </c>
      <c r="C38" s="236" t="s">
        <v>804</v>
      </c>
      <c r="D38" s="1">
        <v>3</v>
      </c>
      <c r="E38" s="283">
        <v>1.5</v>
      </c>
    </row>
    <row r="39" spans="1:5" ht="23.25" customHeight="1" x14ac:dyDescent="0.35">
      <c r="A39" s="158">
        <v>6</v>
      </c>
      <c r="B39" s="19" t="s">
        <v>61</v>
      </c>
      <c r="C39" s="84"/>
      <c r="D39" s="1"/>
      <c r="E39" s="284">
        <f>E40</f>
        <v>50</v>
      </c>
    </row>
    <row r="40" spans="1:5" ht="23.25" customHeight="1" x14ac:dyDescent="0.35">
      <c r="A40" s="234" t="s">
        <v>69</v>
      </c>
      <c r="B40" s="237" t="s">
        <v>217</v>
      </c>
      <c r="C40" s="236" t="s">
        <v>654</v>
      </c>
      <c r="D40" s="31">
        <v>2700</v>
      </c>
      <c r="E40" s="289">
        <v>50</v>
      </c>
    </row>
    <row r="41" spans="1:5" ht="23.25" customHeight="1" x14ac:dyDescent="0.35">
      <c r="A41" s="158">
        <v>7</v>
      </c>
      <c r="B41" s="19" t="s">
        <v>66</v>
      </c>
      <c r="C41" s="84"/>
      <c r="D41" s="31"/>
      <c r="E41" s="182">
        <f>SUM(E42:E42)</f>
        <v>69</v>
      </c>
    </row>
    <row r="42" spans="1:5" ht="36" customHeight="1" x14ac:dyDescent="0.35">
      <c r="A42" s="234" t="s">
        <v>69</v>
      </c>
      <c r="B42" s="265" t="s">
        <v>218</v>
      </c>
      <c r="C42" s="482" t="s">
        <v>791</v>
      </c>
      <c r="D42" s="1">
        <v>46</v>
      </c>
      <c r="E42" s="298">
        <v>69</v>
      </c>
    </row>
    <row r="43" spans="1:5" ht="23.25" customHeight="1" x14ac:dyDescent="0.35">
      <c r="A43" s="68" t="s">
        <v>8</v>
      </c>
      <c r="B43" s="69" t="s">
        <v>168</v>
      </c>
      <c r="C43" s="272"/>
      <c r="D43" s="272"/>
      <c r="E43" s="196">
        <f>E44+E51+E58+E61+E70+E77+E79</f>
        <v>3474.99</v>
      </c>
    </row>
    <row r="44" spans="1:5" ht="15" x14ac:dyDescent="0.35">
      <c r="A44" s="74">
        <v>1</v>
      </c>
      <c r="B44" s="38" t="s">
        <v>13</v>
      </c>
      <c r="C44" s="86"/>
      <c r="D44" s="38"/>
      <c r="E44" s="155">
        <f>SUM(E45:E47)</f>
        <v>2452</v>
      </c>
    </row>
    <row r="45" spans="1:5" ht="15.5" x14ac:dyDescent="0.35">
      <c r="A45" s="37" t="s">
        <v>69</v>
      </c>
      <c r="B45" s="239" t="s">
        <v>222</v>
      </c>
      <c r="C45" s="240" t="s">
        <v>767</v>
      </c>
      <c r="D45" s="240">
        <v>4</v>
      </c>
      <c r="E45" s="274">
        <v>480</v>
      </c>
    </row>
    <row r="46" spans="1:5" ht="15.5" x14ac:dyDescent="0.35">
      <c r="A46" s="37" t="s">
        <v>69</v>
      </c>
      <c r="B46" s="32" t="s">
        <v>223</v>
      </c>
      <c r="C46" s="31" t="s">
        <v>767</v>
      </c>
      <c r="D46" s="31">
        <v>10</v>
      </c>
      <c r="E46" s="274">
        <v>200</v>
      </c>
    </row>
    <row r="47" spans="1:5" ht="15.5" x14ac:dyDescent="0.35">
      <c r="A47" s="37" t="s">
        <v>69</v>
      </c>
      <c r="B47" s="32" t="s">
        <v>21</v>
      </c>
      <c r="C47" s="31"/>
      <c r="D47" s="31"/>
      <c r="E47" s="274">
        <f>SUM(E48:E50)</f>
        <v>1772</v>
      </c>
    </row>
    <row r="48" spans="1:5" ht="15.5" x14ac:dyDescent="0.35">
      <c r="A48" s="74"/>
      <c r="B48" s="50" t="s">
        <v>462</v>
      </c>
      <c r="C48" s="47" t="s">
        <v>767</v>
      </c>
      <c r="D48" s="31">
        <v>72</v>
      </c>
      <c r="E48" s="274">
        <v>720</v>
      </c>
    </row>
    <row r="49" spans="1:5" ht="15.5" x14ac:dyDescent="0.35">
      <c r="A49" s="31"/>
      <c r="B49" s="273" t="s">
        <v>25</v>
      </c>
      <c r="C49" s="434" t="s">
        <v>767</v>
      </c>
      <c r="D49" s="88">
        <v>86</v>
      </c>
      <c r="E49" s="274">
        <v>602</v>
      </c>
    </row>
    <row r="50" spans="1:5" ht="15.5" x14ac:dyDescent="0.35">
      <c r="A50" s="31"/>
      <c r="B50" s="50" t="s">
        <v>24</v>
      </c>
      <c r="C50" s="47" t="s">
        <v>767</v>
      </c>
      <c r="D50" s="31">
        <v>90</v>
      </c>
      <c r="E50" s="274">
        <v>450</v>
      </c>
    </row>
    <row r="51" spans="1:5" ht="15" x14ac:dyDescent="0.35">
      <c r="A51" s="74">
        <v>2</v>
      </c>
      <c r="B51" s="51" t="s">
        <v>14</v>
      </c>
      <c r="C51" s="86"/>
      <c r="D51" s="74"/>
      <c r="E51" s="276">
        <f>E52+E55</f>
        <v>487.45</v>
      </c>
    </row>
    <row r="52" spans="1:5" ht="15.5" x14ac:dyDescent="0.35">
      <c r="A52" s="74"/>
      <c r="B52" s="51" t="s">
        <v>194</v>
      </c>
      <c r="C52" s="86"/>
      <c r="D52" s="31"/>
      <c r="E52" s="277">
        <f>SUM(E53:E54)</f>
        <v>222.45</v>
      </c>
    </row>
    <row r="53" spans="1:5" ht="15.5" x14ac:dyDescent="0.35">
      <c r="A53" s="31" t="s">
        <v>69</v>
      </c>
      <c r="B53" s="32" t="s">
        <v>26</v>
      </c>
      <c r="C53" s="31" t="s">
        <v>789</v>
      </c>
      <c r="D53" s="31">
        <v>105</v>
      </c>
      <c r="E53" s="274">
        <v>210</v>
      </c>
    </row>
    <row r="54" spans="1:5" ht="15.5" x14ac:dyDescent="0.35">
      <c r="A54" s="160" t="s">
        <v>69</v>
      </c>
      <c r="B54" s="32" t="s">
        <v>220</v>
      </c>
      <c r="C54" s="31" t="s">
        <v>735</v>
      </c>
      <c r="D54" s="31">
        <v>498</v>
      </c>
      <c r="E54" s="277">
        <v>12.45</v>
      </c>
    </row>
    <row r="55" spans="1:5" ht="15.5" x14ac:dyDescent="0.35">
      <c r="A55" s="74"/>
      <c r="B55" s="51" t="s">
        <v>196</v>
      </c>
      <c r="C55" s="86"/>
      <c r="D55" s="31"/>
      <c r="E55" s="274">
        <f>SUM(E56:E57)</f>
        <v>265</v>
      </c>
    </row>
    <row r="56" spans="1:5" ht="15.5" x14ac:dyDescent="0.35">
      <c r="A56" s="160" t="s">
        <v>69</v>
      </c>
      <c r="B56" s="32" t="s">
        <v>28</v>
      </c>
      <c r="C56" s="31" t="s">
        <v>790</v>
      </c>
      <c r="D56" s="31">
        <v>22</v>
      </c>
      <c r="E56" s="274">
        <v>88</v>
      </c>
    </row>
    <row r="57" spans="1:5" ht="31" x14ac:dyDescent="0.35">
      <c r="A57" s="160" t="s">
        <v>69</v>
      </c>
      <c r="B57" s="32" t="s">
        <v>224</v>
      </c>
      <c r="C57" s="31" t="s">
        <v>790</v>
      </c>
      <c r="D57" s="31">
        <v>59</v>
      </c>
      <c r="E57" s="274">
        <v>177</v>
      </c>
    </row>
    <row r="58" spans="1:5" ht="15" x14ac:dyDescent="0.35">
      <c r="A58" s="74">
        <v>3</v>
      </c>
      <c r="B58" s="51" t="s">
        <v>32</v>
      </c>
      <c r="C58" s="86"/>
      <c r="D58" s="74"/>
      <c r="E58" s="275">
        <f>SUM(E59:E60)</f>
        <v>30</v>
      </c>
    </row>
    <row r="59" spans="1:5" ht="15.5" x14ac:dyDescent="0.35">
      <c r="A59" s="160" t="s">
        <v>69</v>
      </c>
      <c r="B59" s="32" t="s">
        <v>201</v>
      </c>
      <c r="C59" s="31" t="s">
        <v>654</v>
      </c>
      <c r="D59" s="31">
        <v>20000</v>
      </c>
      <c r="E59" s="274">
        <v>20</v>
      </c>
    </row>
    <row r="60" spans="1:5" ht="15.5" x14ac:dyDescent="0.35">
      <c r="A60" s="160" t="s">
        <v>69</v>
      </c>
      <c r="B60" s="32" t="s">
        <v>225</v>
      </c>
      <c r="C60" s="31" t="s">
        <v>654</v>
      </c>
      <c r="D60" s="31">
        <v>2000</v>
      </c>
      <c r="E60" s="274">
        <v>10</v>
      </c>
    </row>
    <row r="61" spans="1:5" ht="15" x14ac:dyDescent="0.35">
      <c r="A61" s="74">
        <v>4</v>
      </c>
      <c r="B61" s="51" t="s">
        <v>204</v>
      </c>
      <c r="C61" s="86"/>
      <c r="D61" s="74"/>
      <c r="E61" s="276">
        <f>E62+E67</f>
        <v>172.54</v>
      </c>
    </row>
    <row r="62" spans="1:5" ht="15" x14ac:dyDescent="0.35">
      <c r="A62" s="74"/>
      <c r="B62" s="51" t="s">
        <v>226</v>
      </c>
      <c r="C62" s="86"/>
      <c r="D62" s="74"/>
      <c r="E62" s="277">
        <f>SUM(E63:E66)</f>
        <v>130.16</v>
      </c>
    </row>
    <row r="63" spans="1:5" ht="15.5" x14ac:dyDescent="0.35">
      <c r="A63" s="160" t="s">
        <v>69</v>
      </c>
      <c r="B63" s="32" t="s">
        <v>227</v>
      </c>
      <c r="C63" s="31" t="s">
        <v>654</v>
      </c>
      <c r="D63" s="31">
        <v>180</v>
      </c>
      <c r="E63" s="274">
        <v>81</v>
      </c>
    </row>
    <row r="64" spans="1:5" ht="15.5" x14ac:dyDescent="0.35">
      <c r="A64" s="160" t="s">
        <v>69</v>
      </c>
      <c r="B64" s="32" t="s">
        <v>228</v>
      </c>
      <c r="C64" s="31" t="s">
        <v>654</v>
      </c>
      <c r="D64" s="31">
        <v>880</v>
      </c>
      <c r="E64" s="277">
        <v>6.160000000000001</v>
      </c>
    </row>
    <row r="65" spans="1:5" ht="31" x14ac:dyDescent="0.35">
      <c r="A65" s="160" t="s">
        <v>69</v>
      </c>
      <c r="B65" s="18" t="s">
        <v>818</v>
      </c>
      <c r="C65" s="31" t="s">
        <v>717</v>
      </c>
      <c r="D65" s="31">
        <v>5</v>
      </c>
      <c r="E65" s="274">
        <v>40</v>
      </c>
    </row>
    <row r="66" spans="1:5" ht="15.5" x14ac:dyDescent="0.35">
      <c r="A66" s="160" t="s">
        <v>69</v>
      </c>
      <c r="B66" s="32" t="s">
        <v>229</v>
      </c>
      <c r="C66" s="31" t="s">
        <v>793</v>
      </c>
      <c r="D66" s="31">
        <v>4</v>
      </c>
      <c r="E66" s="274">
        <v>3</v>
      </c>
    </row>
    <row r="67" spans="1:5" ht="15" x14ac:dyDescent="0.35">
      <c r="A67" s="267"/>
      <c r="B67" s="268" t="s">
        <v>230</v>
      </c>
      <c r="C67" s="241"/>
      <c r="D67" s="241"/>
      <c r="E67" s="277">
        <f>E68+E69</f>
        <v>42.38</v>
      </c>
    </row>
    <row r="68" spans="1:5" ht="15.5" x14ac:dyDescent="0.35">
      <c r="A68" s="160" t="s">
        <v>69</v>
      </c>
      <c r="B68" s="32" t="s">
        <v>228</v>
      </c>
      <c r="C68" s="31" t="s">
        <v>654</v>
      </c>
      <c r="D68" s="31">
        <v>340</v>
      </c>
      <c r="E68" s="277">
        <v>2.38</v>
      </c>
    </row>
    <row r="69" spans="1:5" ht="31" x14ac:dyDescent="0.35">
      <c r="A69" s="160" t="s">
        <v>69</v>
      </c>
      <c r="B69" s="18" t="s">
        <v>818</v>
      </c>
      <c r="C69" s="31" t="s">
        <v>717</v>
      </c>
      <c r="D69" s="31">
        <v>5</v>
      </c>
      <c r="E69" s="274">
        <v>40</v>
      </c>
    </row>
    <row r="70" spans="1:5" ht="15" x14ac:dyDescent="0.35">
      <c r="A70" s="269">
        <v>5</v>
      </c>
      <c r="B70" s="51" t="s">
        <v>211</v>
      </c>
      <c r="C70" s="86"/>
      <c r="D70" s="74"/>
      <c r="E70" s="276">
        <f>SUM(E71:E76)</f>
        <v>34.5</v>
      </c>
    </row>
    <row r="71" spans="1:5" ht="15.5" x14ac:dyDescent="0.35">
      <c r="A71" s="160" t="s">
        <v>69</v>
      </c>
      <c r="B71" s="32" t="s">
        <v>221</v>
      </c>
      <c r="C71" s="31" t="s">
        <v>670</v>
      </c>
      <c r="D71" s="31">
        <v>100</v>
      </c>
      <c r="E71" s="274">
        <v>10</v>
      </c>
    </row>
    <row r="72" spans="1:5" ht="15.5" x14ac:dyDescent="0.35">
      <c r="A72" s="160" t="s">
        <v>69</v>
      </c>
      <c r="B72" s="32" t="s">
        <v>231</v>
      </c>
      <c r="C72" s="31" t="s">
        <v>805</v>
      </c>
      <c r="D72" s="31"/>
      <c r="E72" s="274">
        <v>5</v>
      </c>
    </row>
    <row r="73" spans="1:5" ht="15.5" x14ac:dyDescent="0.35">
      <c r="A73" s="149" t="s">
        <v>69</v>
      </c>
      <c r="B73" s="27" t="s">
        <v>213</v>
      </c>
      <c r="C73" s="26" t="s">
        <v>767</v>
      </c>
      <c r="D73" s="26">
        <v>1</v>
      </c>
      <c r="E73" s="274">
        <v>10</v>
      </c>
    </row>
    <row r="74" spans="1:5" ht="15.5" x14ac:dyDescent="0.35">
      <c r="A74" s="149" t="s">
        <v>69</v>
      </c>
      <c r="B74" s="27" t="s">
        <v>214</v>
      </c>
      <c r="C74" s="26" t="s">
        <v>683</v>
      </c>
      <c r="D74" s="26">
        <v>1</v>
      </c>
      <c r="E74" s="274">
        <v>2</v>
      </c>
    </row>
    <row r="75" spans="1:5" ht="15.5" x14ac:dyDescent="0.35">
      <c r="A75" s="149" t="s">
        <v>69</v>
      </c>
      <c r="B75" s="27" t="s">
        <v>215</v>
      </c>
      <c r="C75" s="26" t="s">
        <v>803</v>
      </c>
      <c r="D75" s="26">
        <v>6</v>
      </c>
      <c r="E75" s="274">
        <v>6</v>
      </c>
    </row>
    <row r="76" spans="1:5" ht="31" x14ac:dyDescent="0.35">
      <c r="A76" s="149" t="s">
        <v>69</v>
      </c>
      <c r="B76" s="27" t="s">
        <v>216</v>
      </c>
      <c r="C76" s="26" t="s">
        <v>804</v>
      </c>
      <c r="D76" s="26">
        <v>3</v>
      </c>
      <c r="E76" s="277">
        <v>1.5</v>
      </c>
    </row>
    <row r="77" spans="1:5" ht="15" x14ac:dyDescent="0.35">
      <c r="A77" s="269">
        <v>6</v>
      </c>
      <c r="B77" s="51" t="s">
        <v>61</v>
      </c>
      <c r="C77" s="86"/>
      <c r="D77" s="74"/>
      <c r="E77" s="277">
        <f>E78</f>
        <v>123.50000000000001</v>
      </c>
    </row>
    <row r="78" spans="1:5" ht="31" x14ac:dyDescent="0.35">
      <c r="A78" s="160" t="s">
        <v>69</v>
      </c>
      <c r="B78" s="32" t="s">
        <v>217</v>
      </c>
      <c r="C78" s="31" t="s">
        <v>654</v>
      </c>
      <c r="D78" s="31">
        <v>2.4700000000000002</v>
      </c>
      <c r="E78" s="277">
        <v>123.50000000000001</v>
      </c>
    </row>
    <row r="79" spans="1:5" ht="15" x14ac:dyDescent="0.35">
      <c r="A79" s="269">
        <v>7</v>
      </c>
      <c r="B79" s="51" t="s">
        <v>66</v>
      </c>
      <c r="C79" s="86"/>
      <c r="D79" s="74"/>
      <c r="E79" s="276">
        <f>SUM(E80:E81)</f>
        <v>175</v>
      </c>
    </row>
    <row r="80" spans="1:5" ht="31" x14ac:dyDescent="0.35">
      <c r="A80" s="160" t="s">
        <v>69</v>
      </c>
      <c r="B80" s="27" t="s">
        <v>218</v>
      </c>
      <c r="C80" s="26" t="s">
        <v>791</v>
      </c>
      <c r="D80" s="31">
        <v>140</v>
      </c>
      <c r="E80" s="274">
        <v>70</v>
      </c>
    </row>
    <row r="81" spans="1:5" ht="15.5" x14ac:dyDescent="0.35">
      <c r="A81" s="160" t="s">
        <v>22</v>
      </c>
      <c r="B81" s="27" t="s">
        <v>232</v>
      </c>
      <c r="C81" s="26" t="s">
        <v>800</v>
      </c>
      <c r="D81" s="31">
        <v>21</v>
      </c>
      <c r="E81" s="142">
        <v>105</v>
      </c>
    </row>
    <row r="82" spans="1:5" ht="15" x14ac:dyDescent="0.35">
      <c r="A82" s="15" t="s">
        <v>31</v>
      </c>
      <c r="B82" s="16" t="s">
        <v>181</v>
      </c>
      <c r="C82" s="17"/>
      <c r="D82" s="17"/>
      <c r="E82" s="280">
        <f>E83+E90+E98+E101+E111+E120+E122</f>
        <v>4389.8379999999997</v>
      </c>
    </row>
    <row r="83" spans="1:5" ht="15" x14ac:dyDescent="0.35">
      <c r="A83" s="72">
        <v>1</v>
      </c>
      <c r="B83" s="10" t="s">
        <v>13</v>
      </c>
      <c r="C83" s="84"/>
      <c r="D83" s="72"/>
      <c r="E83" s="284">
        <f>SUM(E84:E86)</f>
        <v>3661</v>
      </c>
    </row>
    <row r="84" spans="1:5" ht="15.5" x14ac:dyDescent="0.35">
      <c r="A84" s="236"/>
      <c r="B84" s="235" t="s">
        <v>233</v>
      </c>
      <c r="C84" s="236" t="s">
        <v>767</v>
      </c>
      <c r="D84" s="240">
        <v>9</v>
      </c>
      <c r="E84" s="285">
        <v>1080</v>
      </c>
    </row>
    <row r="85" spans="1:5" ht="15.5" x14ac:dyDescent="0.35">
      <c r="A85" s="236"/>
      <c r="B85" s="237" t="s">
        <v>71</v>
      </c>
      <c r="C85" s="236" t="s">
        <v>767</v>
      </c>
      <c r="D85" s="240">
        <v>27</v>
      </c>
      <c r="E85" s="285">
        <v>540</v>
      </c>
    </row>
    <row r="86" spans="1:5" ht="15.5" x14ac:dyDescent="0.35">
      <c r="A86" s="236"/>
      <c r="B86" s="237" t="s">
        <v>21</v>
      </c>
      <c r="C86" s="236"/>
      <c r="D86" s="236"/>
      <c r="E86" s="285">
        <f>SUM(E87:E89)</f>
        <v>2041</v>
      </c>
    </row>
    <row r="87" spans="1:5" ht="15.5" x14ac:dyDescent="0.35">
      <c r="A87" s="236" t="s">
        <v>69</v>
      </c>
      <c r="B87" s="237" t="s">
        <v>462</v>
      </c>
      <c r="C87" s="236" t="s">
        <v>767</v>
      </c>
      <c r="D87" s="236">
        <v>93</v>
      </c>
      <c r="E87" s="285">
        <v>930</v>
      </c>
    </row>
    <row r="88" spans="1:5" ht="15.5" x14ac:dyDescent="0.35">
      <c r="A88" s="236" t="s">
        <v>69</v>
      </c>
      <c r="B88" s="237" t="s">
        <v>25</v>
      </c>
      <c r="C88" s="236" t="s">
        <v>767</v>
      </c>
      <c r="D88" s="236">
        <v>93</v>
      </c>
      <c r="E88" s="285">
        <v>651</v>
      </c>
    </row>
    <row r="89" spans="1:5" ht="15.5" x14ac:dyDescent="0.35">
      <c r="A89" s="236" t="s">
        <v>69</v>
      </c>
      <c r="B89" s="237" t="s">
        <v>24</v>
      </c>
      <c r="C89" s="236" t="s">
        <v>767</v>
      </c>
      <c r="D89" s="236">
        <v>92</v>
      </c>
      <c r="E89" s="285">
        <v>460</v>
      </c>
    </row>
    <row r="90" spans="1:5" ht="15" x14ac:dyDescent="0.35">
      <c r="A90" s="227">
        <v>2</v>
      </c>
      <c r="B90" s="233" t="s">
        <v>14</v>
      </c>
      <c r="C90" s="227"/>
      <c r="D90" s="227"/>
      <c r="E90" s="282">
        <f>E91+E95</f>
        <v>357.5</v>
      </c>
    </row>
    <row r="91" spans="1:5" ht="15.5" x14ac:dyDescent="0.35">
      <c r="A91" s="227"/>
      <c r="B91" s="233" t="s">
        <v>194</v>
      </c>
      <c r="C91" s="227"/>
      <c r="D91" s="236"/>
      <c r="E91" s="285">
        <f>SUM(E92:E94)</f>
        <v>261</v>
      </c>
    </row>
    <row r="92" spans="1:5" ht="15.5" x14ac:dyDescent="0.35">
      <c r="A92" s="236" t="s">
        <v>69</v>
      </c>
      <c r="B92" s="237" t="s">
        <v>26</v>
      </c>
      <c r="C92" s="236" t="s">
        <v>789</v>
      </c>
      <c r="D92" s="236">
        <v>87</v>
      </c>
      <c r="E92" s="285">
        <v>174</v>
      </c>
    </row>
    <row r="93" spans="1:5" ht="15.5" x14ac:dyDescent="0.35">
      <c r="A93" s="234" t="s">
        <v>69</v>
      </c>
      <c r="B93" s="237" t="s">
        <v>220</v>
      </c>
      <c r="C93" s="236" t="s">
        <v>735</v>
      </c>
      <c r="D93" s="236">
        <v>480</v>
      </c>
      <c r="E93" s="285">
        <v>12</v>
      </c>
    </row>
    <row r="94" spans="1:5" ht="15.5" x14ac:dyDescent="0.35">
      <c r="A94" s="238" t="s">
        <v>22</v>
      </c>
      <c r="B94" s="278" t="s">
        <v>234</v>
      </c>
      <c r="C94" s="240" t="s">
        <v>789</v>
      </c>
      <c r="D94" s="240">
        <v>5</v>
      </c>
      <c r="E94" s="286">
        <v>75</v>
      </c>
    </row>
    <row r="95" spans="1:5" ht="15.5" x14ac:dyDescent="0.35">
      <c r="A95" s="227"/>
      <c r="B95" s="233" t="s">
        <v>196</v>
      </c>
      <c r="C95" s="227"/>
      <c r="D95" s="236"/>
      <c r="E95" s="282">
        <f>SUM(E96:E97)</f>
        <v>96.5</v>
      </c>
    </row>
    <row r="96" spans="1:5" s="279" customFormat="1" ht="15.5" x14ac:dyDescent="0.35">
      <c r="A96" s="238" t="s">
        <v>69</v>
      </c>
      <c r="B96" s="278" t="s">
        <v>28</v>
      </c>
      <c r="C96" s="240" t="s">
        <v>790</v>
      </c>
      <c r="D96" s="240">
        <v>20</v>
      </c>
      <c r="E96" s="286">
        <v>80</v>
      </c>
    </row>
    <row r="97" spans="1:5" s="279" customFormat="1" ht="31" x14ac:dyDescent="0.35">
      <c r="A97" s="238" t="s">
        <v>69</v>
      </c>
      <c r="B97" s="278" t="s">
        <v>235</v>
      </c>
      <c r="C97" s="240" t="s">
        <v>790</v>
      </c>
      <c r="D97" s="240">
        <v>33</v>
      </c>
      <c r="E97" s="183">
        <v>16.5</v>
      </c>
    </row>
    <row r="98" spans="1:5" ht="15" x14ac:dyDescent="0.35">
      <c r="A98" s="72">
        <v>3</v>
      </c>
      <c r="B98" s="19" t="s">
        <v>32</v>
      </c>
      <c r="C98" s="84"/>
      <c r="D98" s="72"/>
      <c r="E98" s="284">
        <f>E99+E100</f>
        <v>26</v>
      </c>
    </row>
    <row r="99" spans="1:5" ht="15.5" x14ac:dyDescent="0.35">
      <c r="A99" s="164" t="s">
        <v>69</v>
      </c>
      <c r="B99" s="18" t="s">
        <v>201</v>
      </c>
      <c r="C99" s="1" t="s">
        <v>654</v>
      </c>
      <c r="D99" s="1">
        <v>20000</v>
      </c>
      <c r="E99" s="287">
        <v>20</v>
      </c>
    </row>
    <row r="100" spans="1:5" ht="15.5" x14ac:dyDescent="0.35">
      <c r="A100" s="164" t="s">
        <v>69</v>
      </c>
      <c r="B100" s="18" t="s">
        <v>225</v>
      </c>
      <c r="C100" s="1" t="s">
        <v>654</v>
      </c>
      <c r="D100" s="33">
        <v>1544</v>
      </c>
      <c r="E100" s="287">
        <v>6</v>
      </c>
    </row>
    <row r="101" spans="1:5" ht="15" x14ac:dyDescent="0.35">
      <c r="A101" s="72">
        <v>4</v>
      </c>
      <c r="B101" s="19" t="s">
        <v>204</v>
      </c>
      <c r="C101" s="84"/>
      <c r="D101" s="72"/>
      <c r="E101" s="281">
        <f>E102+E106</f>
        <v>201.83800000000002</v>
      </c>
    </row>
    <row r="102" spans="1:5" ht="15" x14ac:dyDescent="0.35">
      <c r="A102" s="72"/>
      <c r="B102" s="19" t="s">
        <v>236</v>
      </c>
      <c r="C102" s="84"/>
      <c r="D102" s="72"/>
      <c r="E102" s="281">
        <f>SUM(E103:E105)</f>
        <v>58.778000000000006</v>
      </c>
    </row>
    <row r="103" spans="1:5" ht="15.5" x14ac:dyDescent="0.35">
      <c r="A103" s="164" t="s">
        <v>69</v>
      </c>
      <c r="B103" s="18" t="s">
        <v>227</v>
      </c>
      <c r="C103" s="1" t="s">
        <v>654</v>
      </c>
      <c r="D103" s="1">
        <v>54</v>
      </c>
      <c r="E103" s="283">
        <v>24.3</v>
      </c>
    </row>
    <row r="104" spans="1:5" ht="15.5" x14ac:dyDescent="0.35">
      <c r="A104" s="160" t="s">
        <v>22</v>
      </c>
      <c r="B104" s="32" t="s">
        <v>228</v>
      </c>
      <c r="C104" s="31" t="s">
        <v>654</v>
      </c>
      <c r="D104" s="31">
        <v>354</v>
      </c>
      <c r="E104" s="184">
        <v>2.4780000000000002</v>
      </c>
    </row>
    <row r="105" spans="1:5" ht="31" x14ac:dyDescent="0.35">
      <c r="A105" s="149" t="s">
        <v>22</v>
      </c>
      <c r="B105" s="18" t="s">
        <v>818</v>
      </c>
      <c r="C105" s="26" t="s">
        <v>717</v>
      </c>
      <c r="D105" s="26">
        <v>4</v>
      </c>
      <c r="E105" s="288">
        <v>32</v>
      </c>
    </row>
    <row r="106" spans="1:5" ht="15.5" x14ac:dyDescent="0.35">
      <c r="A106" s="160"/>
      <c r="B106" s="51" t="s">
        <v>237</v>
      </c>
      <c r="C106" s="86"/>
      <c r="D106" s="31"/>
      <c r="E106" s="186">
        <f>SUM(E107:E110)</f>
        <v>143.06</v>
      </c>
    </row>
    <row r="107" spans="1:5" ht="15.5" x14ac:dyDescent="0.35">
      <c r="A107" s="160" t="s">
        <v>69</v>
      </c>
      <c r="B107" s="32" t="s">
        <v>206</v>
      </c>
      <c r="C107" s="31" t="s">
        <v>654</v>
      </c>
      <c r="D107" s="31">
        <v>220</v>
      </c>
      <c r="E107" s="289">
        <v>88</v>
      </c>
    </row>
    <row r="108" spans="1:5" ht="15.5" x14ac:dyDescent="0.35">
      <c r="A108" s="160" t="s">
        <v>22</v>
      </c>
      <c r="B108" s="32" t="s">
        <v>238</v>
      </c>
      <c r="C108" s="31" t="s">
        <v>654</v>
      </c>
      <c r="D108" s="31">
        <v>580</v>
      </c>
      <c r="E108" s="184">
        <v>4.0599999999999996</v>
      </c>
    </row>
    <row r="109" spans="1:5" ht="31" x14ac:dyDescent="0.35">
      <c r="A109" s="160" t="s">
        <v>69</v>
      </c>
      <c r="B109" s="18" t="s">
        <v>818</v>
      </c>
      <c r="C109" s="31" t="s">
        <v>717</v>
      </c>
      <c r="D109" s="31">
        <v>6</v>
      </c>
      <c r="E109" s="289">
        <v>48</v>
      </c>
    </row>
    <row r="110" spans="1:5" ht="15.5" x14ac:dyDescent="0.35">
      <c r="A110" s="160" t="s">
        <v>69</v>
      </c>
      <c r="B110" s="32" t="s">
        <v>239</v>
      </c>
      <c r="C110" s="31" t="s">
        <v>793</v>
      </c>
      <c r="D110" s="31">
        <v>4</v>
      </c>
      <c r="E110" s="289">
        <v>3</v>
      </c>
    </row>
    <row r="111" spans="1:5" ht="15" x14ac:dyDescent="0.35">
      <c r="A111" s="266">
        <v>5</v>
      </c>
      <c r="B111" s="19" t="s">
        <v>211</v>
      </c>
      <c r="C111" s="84"/>
      <c r="D111" s="72"/>
      <c r="E111" s="281">
        <f>SUM(E112:E119)</f>
        <v>39.5</v>
      </c>
    </row>
    <row r="112" spans="1:5" ht="15.5" x14ac:dyDescent="0.35">
      <c r="A112" s="164" t="s">
        <v>69</v>
      </c>
      <c r="B112" s="18" t="s">
        <v>221</v>
      </c>
      <c r="C112" s="1" t="s">
        <v>670</v>
      </c>
      <c r="D112" s="31">
        <v>100</v>
      </c>
      <c r="E112" s="287">
        <v>10</v>
      </c>
    </row>
    <row r="113" spans="1:5" ht="15.5" x14ac:dyDescent="0.35">
      <c r="A113" s="164" t="s">
        <v>69</v>
      </c>
      <c r="B113" s="18" t="s">
        <v>231</v>
      </c>
      <c r="C113" s="1" t="s">
        <v>805</v>
      </c>
      <c r="D113" s="1"/>
      <c r="E113" s="287">
        <v>5</v>
      </c>
    </row>
    <row r="114" spans="1:5" ht="15.5" x14ac:dyDescent="0.35">
      <c r="A114" s="164" t="s">
        <v>69</v>
      </c>
      <c r="B114" s="18" t="s">
        <v>213</v>
      </c>
      <c r="C114" s="1" t="s">
        <v>767</v>
      </c>
      <c r="D114" s="1">
        <v>1</v>
      </c>
      <c r="E114" s="287">
        <v>11</v>
      </c>
    </row>
    <row r="115" spans="1:5" ht="15.5" x14ac:dyDescent="0.35">
      <c r="A115" s="164" t="s">
        <v>69</v>
      </c>
      <c r="B115" s="18" t="s">
        <v>214</v>
      </c>
      <c r="C115" s="1" t="s">
        <v>683</v>
      </c>
      <c r="D115" s="1">
        <v>1</v>
      </c>
      <c r="E115" s="287">
        <v>2</v>
      </c>
    </row>
    <row r="116" spans="1:5" ht="15.5" x14ac:dyDescent="0.35">
      <c r="A116" s="164" t="s">
        <v>69</v>
      </c>
      <c r="B116" s="18" t="s">
        <v>215</v>
      </c>
      <c r="C116" s="1" t="s">
        <v>803</v>
      </c>
      <c r="D116" s="1">
        <v>5</v>
      </c>
      <c r="E116" s="287">
        <v>5</v>
      </c>
    </row>
    <row r="117" spans="1:5" ht="31" x14ac:dyDescent="0.35">
      <c r="A117" s="164" t="s">
        <v>69</v>
      </c>
      <c r="B117" s="18" t="s">
        <v>216</v>
      </c>
      <c r="C117" s="1" t="s">
        <v>804</v>
      </c>
      <c r="D117" s="1">
        <v>3</v>
      </c>
      <c r="E117" s="283">
        <v>1.5</v>
      </c>
    </row>
    <row r="118" spans="1:5" ht="15.5" x14ac:dyDescent="0.35">
      <c r="A118" s="160" t="s">
        <v>22</v>
      </c>
      <c r="B118" s="32" t="s">
        <v>240</v>
      </c>
      <c r="C118" s="31" t="s">
        <v>654</v>
      </c>
      <c r="D118" s="31">
        <v>300</v>
      </c>
      <c r="E118" s="289">
        <v>3</v>
      </c>
    </row>
    <row r="119" spans="1:5" ht="15.5" x14ac:dyDescent="0.35">
      <c r="A119" s="160" t="s">
        <v>22</v>
      </c>
      <c r="B119" s="32" t="s">
        <v>241</v>
      </c>
      <c r="C119" s="31" t="s">
        <v>683</v>
      </c>
      <c r="D119" s="31">
        <v>2</v>
      </c>
      <c r="E119" s="289">
        <v>2</v>
      </c>
    </row>
    <row r="120" spans="1:5" ht="15" x14ac:dyDescent="0.35">
      <c r="A120" s="266">
        <v>6</v>
      </c>
      <c r="B120" s="19" t="s">
        <v>61</v>
      </c>
      <c r="C120" s="84"/>
      <c r="D120" s="72"/>
      <c r="E120" s="284">
        <f>E121</f>
        <v>44</v>
      </c>
    </row>
    <row r="121" spans="1:5" ht="31" x14ac:dyDescent="0.35">
      <c r="A121" s="164" t="s">
        <v>69</v>
      </c>
      <c r="B121" s="18" t="s">
        <v>217</v>
      </c>
      <c r="C121" s="1" t="s">
        <v>654</v>
      </c>
      <c r="D121" s="1">
        <v>0.88</v>
      </c>
      <c r="E121" s="287">
        <v>44</v>
      </c>
    </row>
    <row r="122" spans="1:5" ht="15" x14ac:dyDescent="0.35">
      <c r="A122" s="266">
        <v>7</v>
      </c>
      <c r="B122" s="19" t="s">
        <v>66</v>
      </c>
      <c r="C122" s="84"/>
      <c r="D122" s="72"/>
      <c r="E122" s="281">
        <f>SUM(E123:E123)</f>
        <v>60</v>
      </c>
    </row>
    <row r="123" spans="1:5" ht="31" x14ac:dyDescent="0.35">
      <c r="A123" s="164" t="s">
        <v>69</v>
      </c>
      <c r="B123" s="27" t="s">
        <v>218</v>
      </c>
      <c r="C123" s="26" t="s">
        <v>791</v>
      </c>
      <c r="D123" s="1">
        <v>120</v>
      </c>
      <c r="E123" s="287">
        <v>60</v>
      </c>
    </row>
    <row r="124" spans="1:5" ht="15" x14ac:dyDescent="0.35">
      <c r="A124" s="290" t="s">
        <v>35</v>
      </c>
      <c r="B124" s="291" t="s">
        <v>78</v>
      </c>
      <c r="C124" s="290"/>
      <c r="D124" s="290"/>
      <c r="E124" s="292">
        <f>E125+E132+E141+E145+E153+E159+E161</f>
        <v>2913.3</v>
      </c>
    </row>
    <row r="125" spans="1:5" ht="15" x14ac:dyDescent="0.35">
      <c r="A125" s="97">
        <v>1</v>
      </c>
      <c r="B125" s="41" t="s">
        <v>13</v>
      </c>
      <c r="C125" s="97"/>
      <c r="D125" s="97"/>
      <c r="E125" s="293">
        <f>SUM(E126:E128)</f>
        <v>1338</v>
      </c>
    </row>
    <row r="126" spans="1:5" ht="15.5" x14ac:dyDescent="0.35">
      <c r="A126" s="26"/>
      <c r="B126" s="27" t="s">
        <v>193</v>
      </c>
      <c r="C126" s="26" t="s">
        <v>767</v>
      </c>
      <c r="D126" s="26">
        <v>2</v>
      </c>
      <c r="E126" s="294">
        <v>140</v>
      </c>
    </row>
    <row r="127" spans="1:5" ht="15.5" x14ac:dyDescent="0.35">
      <c r="A127" s="26"/>
      <c r="B127" s="27" t="s">
        <v>461</v>
      </c>
      <c r="C127" s="26" t="s">
        <v>767</v>
      </c>
      <c r="D127" s="26">
        <v>21</v>
      </c>
      <c r="E127" s="294">
        <v>168</v>
      </c>
    </row>
    <row r="128" spans="1:5" ht="15.5" x14ac:dyDescent="0.35">
      <c r="A128" s="26"/>
      <c r="B128" s="27" t="s">
        <v>21</v>
      </c>
      <c r="C128" s="26"/>
      <c r="D128" s="26"/>
      <c r="E128" s="294">
        <f>SUM(E129:E131)</f>
        <v>1030</v>
      </c>
    </row>
    <row r="129" spans="1:5" ht="15.5" x14ac:dyDescent="0.35">
      <c r="A129" s="26"/>
      <c r="B129" s="42" t="s">
        <v>462</v>
      </c>
      <c r="C129" s="98" t="s">
        <v>767</v>
      </c>
      <c r="D129" s="26">
        <v>67</v>
      </c>
      <c r="E129" s="294">
        <v>335</v>
      </c>
    </row>
    <row r="130" spans="1:5" ht="15.5" x14ac:dyDescent="0.35">
      <c r="A130" s="26"/>
      <c r="B130" s="42" t="s">
        <v>25</v>
      </c>
      <c r="C130" s="98" t="s">
        <v>767</v>
      </c>
      <c r="D130" s="26">
        <v>72</v>
      </c>
      <c r="E130" s="294">
        <v>360</v>
      </c>
    </row>
    <row r="131" spans="1:5" ht="15.5" x14ac:dyDescent="0.35">
      <c r="A131" s="26"/>
      <c r="B131" s="42" t="s">
        <v>24</v>
      </c>
      <c r="C131" s="98" t="s">
        <v>767</v>
      </c>
      <c r="D131" s="26">
        <v>67</v>
      </c>
      <c r="E131" s="294">
        <v>335</v>
      </c>
    </row>
    <row r="132" spans="1:5" ht="15" x14ac:dyDescent="0.35">
      <c r="A132" s="97">
        <v>2</v>
      </c>
      <c r="B132" s="43" t="s">
        <v>14</v>
      </c>
      <c r="C132" s="97"/>
      <c r="D132" s="97"/>
      <c r="E132" s="293">
        <f>E133+E136</f>
        <v>263</v>
      </c>
    </row>
    <row r="133" spans="1:5" ht="15.5" x14ac:dyDescent="0.35">
      <c r="A133" s="26"/>
      <c r="B133" s="43" t="s">
        <v>194</v>
      </c>
      <c r="C133" s="97"/>
      <c r="D133" s="26"/>
      <c r="E133" s="294">
        <f>E134+E135</f>
        <v>148</v>
      </c>
    </row>
    <row r="134" spans="1:5" ht="15.5" x14ac:dyDescent="0.35">
      <c r="A134" s="26" t="s">
        <v>69</v>
      </c>
      <c r="B134" s="27" t="s">
        <v>26</v>
      </c>
      <c r="C134" s="26" t="s">
        <v>789</v>
      </c>
      <c r="D134" s="26">
        <v>68</v>
      </c>
      <c r="E134" s="294">
        <v>136</v>
      </c>
    </row>
    <row r="135" spans="1:5" ht="15.5" x14ac:dyDescent="0.35">
      <c r="A135" s="149" t="s">
        <v>69</v>
      </c>
      <c r="B135" s="27" t="s">
        <v>195</v>
      </c>
      <c r="C135" s="26" t="s">
        <v>735</v>
      </c>
      <c r="D135" s="26">
        <v>400</v>
      </c>
      <c r="E135" s="294">
        <v>12</v>
      </c>
    </row>
    <row r="136" spans="1:5" ht="15.5" x14ac:dyDescent="0.35">
      <c r="A136" s="26"/>
      <c r="B136" s="43" t="s">
        <v>196</v>
      </c>
      <c r="C136" s="97"/>
      <c r="D136" s="26"/>
      <c r="E136" s="294">
        <f>E137+E140</f>
        <v>115</v>
      </c>
    </row>
    <row r="137" spans="1:5" ht="15.5" x14ac:dyDescent="0.35">
      <c r="A137" s="149" t="s">
        <v>69</v>
      </c>
      <c r="B137" s="27" t="s">
        <v>197</v>
      </c>
      <c r="C137" s="26"/>
      <c r="D137" s="26"/>
      <c r="E137" s="294">
        <v>88</v>
      </c>
    </row>
    <row r="138" spans="1:5" ht="15.5" x14ac:dyDescent="0.35">
      <c r="A138" s="149" t="s">
        <v>198</v>
      </c>
      <c r="B138" s="27" t="s">
        <v>28</v>
      </c>
      <c r="C138" s="26" t="s">
        <v>790</v>
      </c>
      <c r="D138" s="26">
        <v>11</v>
      </c>
      <c r="E138" s="294">
        <v>44</v>
      </c>
    </row>
    <row r="139" spans="1:5" ht="15.5" x14ac:dyDescent="0.35">
      <c r="A139" s="149" t="s">
        <v>198</v>
      </c>
      <c r="B139" s="27" t="s">
        <v>199</v>
      </c>
      <c r="C139" s="26" t="s">
        <v>790</v>
      </c>
      <c r="D139" s="26">
        <v>22</v>
      </c>
      <c r="E139" s="294">
        <v>44</v>
      </c>
    </row>
    <row r="140" spans="1:5" ht="15.5" x14ac:dyDescent="0.35">
      <c r="A140" s="149" t="s">
        <v>69</v>
      </c>
      <c r="B140" s="27" t="s">
        <v>200</v>
      </c>
      <c r="C140" s="26" t="s">
        <v>791</v>
      </c>
      <c r="D140" s="26">
        <v>54</v>
      </c>
      <c r="E140" s="294">
        <v>27</v>
      </c>
    </row>
    <row r="141" spans="1:5" ht="15.5" x14ac:dyDescent="0.35">
      <c r="A141" s="97">
        <v>3</v>
      </c>
      <c r="B141" s="43" t="s">
        <v>32</v>
      </c>
      <c r="C141" s="97"/>
      <c r="D141" s="26"/>
      <c r="E141" s="204">
        <f>SUM(E142:E144)</f>
        <v>40.200000000000003</v>
      </c>
    </row>
    <row r="142" spans="1:5" ht="15.5" x14ac:dyDescent="0.35">
      <c r="A142" s="149" t="s">
        <v>69</v>
      </c>
      <c r="B142" s="27" t="s">
        <v>201</v>
      </c>
      <c r="C142" s="26" t="s">
        <v>654</v>
      </c>
      <c r="D142" s="26">
        <v>9400</v>
      </c>
      <c r="E142" s="190">
        <v>9.4</v>
      </c>
    </row>
    <row r="143" spans="1:5" ht="15.5" x14ac:dyDescent="0.35">
      <c r="A143" s="149" t="s">
        <v>69</v>
      </c>
      <c r="B143" s="27" t="s">
        <v>202</v>
      </c>
      <c r="C143" s="26" t="s">
        <v>739</v>
      </c>
      <c r="D143" s="26">
        <v>340</v>
      </c>
      <c r="E143" s="190">
        <v>23.8</v>
      </c>
    </row>
    <row r="144" spans="1:5" ht="15.5" x14ac:dyDescent="0.35">
      <c r="A144" s="149" t="s">
        <v>69</v>
      </c>
      <c r="B144" s="27" t="s">
        <v>203</v>
      </c>
      <c r="C144" s="26" t="s">
        <v>654</v>
      </c>
      <c r="D144" s="26">
        <v>35</v>
      </c>
      <c r="E144" s="294">
        <v>7</v>
      </c>
    </row>
    <row r="145" spans="1:5" ht="15.5" x14ac:dyDescent="0.35">
      <c r="A145" s="97">
        <v>4</v>
      </c>
      <c r="B145" s="43" t="s">
        <v>204</v>
      </c>
      <c r="C145" s="97"/>
      <c r="D145" s="26"/>
      <c r="E145" s="204">
        <f>SUM(E146:E152)</f>
        <v>1149.5999999999999</v>
      </c>
    </row>
    <row r="146" spans="1:5" ht="15.5" x14ac:dyDescent="0.35">
      <c r="A146" s="149" t="s">
        <v>69</v>
      </c>
      <c r="B146" s="27" t="s">
        <v>205</v>
      </c>
      <c r="C146" s="26" t="s">
        <v>654</v>
      </c>
      <c r="D146" s="26">
        <v>420</v>
      </c>
      <c r="E146" s="294">
        <v>504</v>
      </c>
    </row>
    <row r="147" spans="1:5" ht="15.5" x14ac:dyDescent="0.35">
      <c r="A147" s="149" t="s">
        <v>69</v>
      </c>
      <c r="B147" s="27" t="s">
        <v>206</v>
      </c>
      <c r="C147" s="26" t="s">
        <v>654</v>
      </c>
      <c r="D147" s="26">
        <v>100</v>
      </c>
      <c r="E147" s="294">
        <v>40</v>
      </c>
    </row>
    <row r="148" spans="1:5" ht="31" x14ac:dyDescent="0.35">
      <c r="A148" s="149" t="s">
        <v>69</v>
      </c>
      <c r="B148" s="18" t="s">
        <v>818</v>
      </c>
      <c r="C148" s="26" t="s">
        <v>717</v>
      </c>
      <c r="D148" s="26">
        <v>15</v>
      </c>
      <c r="E148" s="294">
        <v>60</v>
      </c>
    </row>
    <row r="149" spans="1:5" ht="15.5" x14ac:dyDescent="0.35">
      <c r="A149" s="149" t="s">
        <v>69</v>
      </c>
      <c r="B149" s="27" t="s">
        <v>207</v>
      </c>
      <c r="C149" s="26" t="s">
        <v>654</v>
      </c>
      <c r="D149" s="26">
        <v>50</v>
      </c>
      <c r="E149" s="293">
        <v>15</v>
      </c>
    </row>
    <row r="150" spans="1:5" ht="15.5" x14ac:dyDescent="0.35">
      <c r="A150" s="149" t="s">
        <v>69</v>
      </c>
      <c r="B150" s="27" t="s">
        <v>208</v>
      </c>
      <c r="C150" s="26" t="s">
        <v>654</v>
      </c>
      <c r="D150" s="26">
        <v>370</v>
      </c>
      <c r="E150" s="294">
        <v>259</v>
      </c>
    </row>
    <row r="151" spans="1:5" ht="15.5" x14ac:dyDescent="0.35">
      <c r="A151" s="149" t="s">
        <v>69</v>
      </c>
      <c r="B151" s="27" t="s">
        <v>209</v>
      </c>
      <c r="C151" s="26" t="s">
        <v>654</v>
      </c>
      <c r="D151" s="26">
        <v>1080</v>
      </c>
      <c r="E151" s="294">
        <v>270</v>
      </c>
    </row>
    <row r="152" spans="1:5" ht="15.5" x14ac:dyDescent="0.35">
      <c r="A152" s="149" t="s">
        <v>69</v>
      </c>
      <c r="B152" s="27" t="s">
        <v>210</v>
      </c>
      <c r="C152" s="26" t="s">
        <v>793</v>
      </c>
      <c r="D152" s="26">
        <v>4</v>
      </c>
      <c r="E152" s="190">
        <v>1.6</v>
      </c>
    </row>
    <row r="153" spans="1:5" ht="15.5" x14ac:dyDescent="0.35">
      <c r="A153" s="270">
        <v>5</v>
      </c>
      <c r="B153" s="43" t="s">
        <v>211</v>
      </c>
      <c r="C153" s="97"/>
      <c r="D153" s="26"/>
      <c r="E153" s="204">
        <f>SUM(E154:E158)</f>
        <v>43.5</v>
      </c>
    </row>
    <row r="154" spans="1:5" ht="15.5" x14ac:dyDescent="0.35">
      <c r="A154" s="149" t="s">
        <v>69</v>
      </c>
      <c r="B154" s="27" t="s">
        <v>212</v>
      </c>
      <c r="C154" s="26" t="s">
        <v>670</v>
      </c>
      <c r="D154" s="26">
        <v>100</v>
      </c>
      <c r="E154" s="294">
        <v>15</v>
      </c>
    </row>
    <row r="155" spans="1:5" ht="15.5" x14ac:dyDescent="0.35">
      <c r="A155" s="149" t="s">
        <v>69</v>
      </c>
      <c r="B155" s="27" t="s">
        <v>213</v>
      </c>
      <c r="C155" s="26" t="s">
        <v>767</v>
      </c>
      <c r="D155" s="26">
        <v>1</v>
      </c>
      <c r="E155" s="294">
        <v>15</v>
      </c>
    </row>
    <row r="156" spans="1:5" ht="15.5" x14ac:dyDescent="0.35">
      <c r="A156" s="149" t="s">
        <v>69</v>
      </c>
      <c r="B156" s="27" t="s">
        <v>214</v>
      </c>
      <c r="C156" s="26" t="s">
        <v>683</v>
      </c>
      <c r="D156" s="26">
        <v>1</v>
      </c>
      <c r="E156" s="294">
        <v>2</v>
      </c>
    </row>
    <row r="157" spans="1:5" ht="15.5" x14ac:dyDescent="0.35">
      <c r="A157" s="149" t="s">
        <v>69</v>
      </c>
      <c r="B157" s="27" t="s">
        <v>215</v>
      </c>
      <c r="C157" s="26" t="s">
        <v>803</v>
      </c>
      <c r="D157" s="26">
        <v>5</v>
      </c>
      <c r="E157" s="294">
        <v>10</v>
      </c>
    </row>
    <row r="158" spans="1:5" ht="31" x14ac:dyDescent="0.35">
      <c r="A158" s="149" t="s">
        <v>69</v>
      </c>
      <c r="B158" s="27" t="s">
        <v>216</v>
      </c>
      <c r="C158" s="26" t="s">
        <v>804</v>
      </c>
      <c r="D158" s="26">
        <v>3</v>
      </c>
      <c r="E158" s="190">
        <v>1.5</v>
      </c>
    </row>
    <row r="159" spans="1:5" ht="15.5" x14ac:dyDescent="0.35">
      <c r="A159" s="270">
        <v>6</v>
      </c>
      <c r="B159" s="43" t="s">
        <v>61</v>
      </c>
      <c r="C159" s="97"/>
      <c r="D159" s="26"/>
      <c r="E159" s="293">
        <f>E160</f>
        <v>10</v>
      </c>
    </row>
    <row r="160" spans="1:5" ht="31" x14ac:dyDescent="0.35">
      <c r="A160" s="149" t="s">
        <v>69</v>
      </c>
      <c r="B160" s="27" t="s">
        <v>217</v>
      </c>
      <c r="C160" s="26" t="s">
        <v>654</v>
      </c>
      <c r="D160" s="26">
        <v>220</v>
      </c>
      <c r="E160" s="294">
        <v>10</v>
      </c>
    </row>
    <row r="161" spans="1:5" ht="15" x14ac:dyDescent="0.35">
      <c r="A161" s="270">
        <v>7</v>
      </c>
      <c r="B161" s="43" t="s">
        <v>66</v>
      </c>
      <c r="C161" s="97"/>
      <c r="D161" s="97"/>
      <c r="E161" s="204">
        <f>SUM(E162:E162)</f>
        <v>69</v>
      </c>
    </row>
    <row r="162" spans="1:5" ht="31" x14ac:dyDescent="0.35">
      <c r="A162" s="149" t="s">
        <v>69</v>
      </c>
      <c r="B162" s="27" t="s">
        <v>218</v>
      </c>
      <c r="C162" s="26" t="s">
        <v>791</v>
      </c>
      <c r="D162" s="26">
        <v>46</v>
      </c>
      <c r="E162" s="294">
        <v>69</v>
      </c>
    </row>
  </sheetData>
  <mergeCells count="6">
    <mergeCell ref="A1:E1"/>
    <mergeCell ref="A3:A4"/>
    <mergeCell ref="B3:B4"/>
    <mergeCell ref="D3:D4"/>
    <mergeCell ref="E3:E4"/>
    <mergeCell ref="C3:C4"/>
  </mergeCells>
  <pageMargins left="0.7" right="0.28000000000000003" top="0.75" bottom="0.49"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38" zoomScale="120" zoomScaleNormal="120" workbookViewId="0">
      <selection activeCell="B41" sqref="B41"/>
    </sheetView>
  </sheetViews>
  <sheetFormatPr defaultRowHeight="15.5" x14ac:dyDescent="0.35"/>
  <cols>
    <col min="1" max="1" width="4.7265625" style="2" customWidth="1"/>
    <col min="2" max="2" width="57.26953125" style="5" customWidth="1"/>
    <col min="3" max="3" width="9" style="5" customWidth="1"/>
    <col min="4" max="4" width="10.81640625" style="7" customWidth="1"/>
    <col min="5" max="5" width="10.453125" style="7" hidden="1" customWidth="1"/>
    <col min="6" max="6" width="18.1796875" style="7" hidden="1" customWidth="1"/>
    <col min="7" max="7" width="10.26953125" style="7" hidden="1" customWidth="1"/>
    <col min="8" max="8" width="11.54296875" style="2" hidden="1" customWidth="1"/>
    <col min="9" max="9" width="0" style="2" hidden="1" customWidth="1"/>
    <col min="10" max="256" width="9.1796875" style="2"/>
    <col min="257" max="257" width="4.7265625" style="2" customWidth="1"/>
    <col min="258" max="258" width="49.1796875" style="2" customWidth="1"/>
    <col min="259" max="259" width="9" style="2" customWidth="1"/>
    <col min="260" max="260" width="10.81640625" style="2" customWidth="1"/>
    <col min="261" max="261" width="10.453125" style="2" customWidth="1"/>
    <col min="262" max="262" width="18.1796875" style="2" customWidth="1"/>
    <col min="263" max="263" width="10.26953125" style="2" customWidth="1"/>
    <col min="264" max="512" width="9.1796875" style="2"/>
    <col min="513" max="513" width="4.7265625" style="2" customWidth="1"/>
    <col min="514" max="514" width="49.1796875" style="2" customWidth="1"/>
    <col min="515" max="515" width="9" style="2" customWidth="1"/>
    <col min="516" max="516" width="10.81640625" style="2" customWidth="1"/>
    <col min="517" max="517" width="10.453125" style="2" customWidth="1"/>
    <col min="518" max="518" width="18.1796875" style="2" customWidth="1"/>
    <col min="519" max="519" width="10.26953125" style="2" customWidth="1"/>
    <col min="520" max="768" width="9.1796875" style="2"/>
    <col min="769" max="769" width="4.7265625" style="2" customWidth="1"/>
    <col min="770" max="770" width="49.1796875" style="2" customWidth="1"/>
    <col min="771" max="771" width="9" style="2" customWidth="1"/>
    <col min="772" max="772" width="10.81640625" style="2" customWidth="1"/>
    <col min="773" max="773" width="10.453125" style="2" customWidth="1"/>
    <col min="774" max="774" width="18.1796875" style="2" customWidth="1"/>
    <col min="775" max="775" width="10.26953125" style="2" customWidth="1"/>
    <col min="776" max="1024" width="9.1796875" style="2"/>
    <col min="1025" max="1025" width="4.7265625" style="2" customWidth="1"/>
    <col min="1026" max="1026" width="49.1796875" style="2" customWidth="1"/>
    <col min="1027" max="1027" width="9" style="2" customWidth="1"/>
    <col min="1028" max="1028" width="10.81640625" style="2" customWidth="1"/>
    <col min="1029" max="1029" width="10.453125" style="2" customWidth="1"/>
    <col min="1030" max="1030" width="18.1796875" style="2" customWidth="1"/>
    <col min="1031" max="1031" width="10.26953125" style="2" customWidth="1"/>
    <col min="1032" max="1280" width="9.1796875" style="2"/>
    <col min="1281" max="1281" width="4.7265625" style="2" customWidth="1"/>
    <col min="1282" max="1282" width="49.1796875" style="2" customWidth="1"/>
    <col min="1283" max="1283" width="9" style="2" customWidth="1"/>
    <col min="1284" max="1284" width="10.81640625" style="2" customWidth="1"/>
    <col min="1285" max="1285" width="10.453125" style="2" customWidth="1"/>
    <col min="1286" max="1286" width="18.1796875" style="2" customWidth="1"/>
    <col min="1287" max="1287" width="10.26953125" style="2" customWidth="1"/>
    <col min="1288" max="1536" width="9.1796875" style="2"/>
    <col min="1537" max="1537" width="4.7265625" style="2" customWidth="1"/>
    <col min="1538" max="1538" width="49.1796875" style="2" customWidth="1"/>
    <col min="1539" max="1539" width="9" style="2" customWidth="1"/>
    <col min="1540" max="1540" width="10.81640625" style="2" customWidth="1"/>
    <col min="1541" max="1541" width="10.453125" style="2" customWidth="1"/>
    <col min="1542" max="1542" width="18.1796875" style="2" customWidth="1"/>
    <col min="1543" max="1543" width="10.26953125" style="2" customWidth="1"/>
    <col min="1544" max="1792" width="9.1796875" style="2"/>
    <col min="1793" max="1793" width="4.7265625" style="2" customWidth="1"/>
    <col min="1794" max="1794" width="49.1796875" style="2" customWidth="1"/>
    <col min="1795" max="1795" width="9" style="2" customWidth="1"/>
    <col min="1796" max="1796" width="10.81640625" style="2" customWidth="1"/>
    <col min="1797" max="1797" width="10.453125" style="2" customWidth="1"/>
    <col min="1798" max="1798" width="18.1796875" style="2" customWidth="1"/>
    <col min="1799" max="1799" width="10.26953125" style="2" customWidth="1"/>
    <col min="1800" max="2048" width="9.1796875" style="2"/>
    <col min="2049" max="2049" width="4.7265625" style="2" customWidth="1"/>
    <col min="2050" max="2050" width="49.1796875" style="2" customWidth="1"/>
    <col min="2051" max="2051" width="9" style="2" customWidth="1"/>
    <col min="2052" max="2052" width="10.81640625" style="2" customWidth="1"/>
    <col min="2053" max="2053" width="10.453125" style="2" customWidth="1"/>
    <col min="2054" max="2054" width="18.1796875" style="2" customWidth="1"/>
    <col min="2055" max="2055" width="10.26953125" style="2" customWidth="1"/>
    <col min="2056" max="2304" width="9.1796875" style="2"/>
    <col min="2305" max="2305" width="4.7265625" style="2" customWidth="1"/>
    <col min="2306" max="2306" width="49.1796875" style="2" customWidth="1"/>
    <col min="2307" max="2307" width="9" style="2" customWidth="1"/>
    <col min="2308" max="2308" width="10.81640625" style="2" customWidth="1"/>
    <col min="2309" max="2309" width="10.453125" style="2" customWidth="1"/>
    <col min="2310" max="2310" width="18.1796875" style="2" customWidth="1"/>
    <col min="2311" max="2311" width="10.26953125" style="2" customWidth="1"/>
    <col min="2312" max="2560" width="9.1796875" style="2"/>
    <col min="2561" max="2561" width="4.7265625" style="2" customWidth="1"/>
    <col min="2562" max="2562" width="49.1796875" style="2" customWidth="1"/>
    <col min="2563" max="2563" width="9" style="2" customWidth="1"/>
    <col min="2564" max="2564" width="10.81640625" style="2" customWidth="1"/>
    <col min="2565" max="2565" width="10.453125" style="2" customWidth="1"/>
    <col min="2566" max="2566" width="18.1796875" style="2" customWidth="1"/>
    <col min="2567" max="2567" width="10.26953125" style="2" customWidth="1"/>
    <col min="2568" max="2816" width="9.1796875" style="2"/>
    <col min="2817" max="2817" width="4.7265625" style="2" customWidth="1"/>
    <col min="2818" max="2818" width="49.1796875" style="2" customWidth="1"/>
    <col min="2819" max="2819" width="9" style="2" customWidth="1"/>
    <col min="2820" max="2820" width="10.81640625" style="2" customWidth="1"/>
    <col min="2821" max="2821" width="10.453125" style="2" customWidth="1"/>
    <col min="2822" max="2822" width="18.1796875" style="2" customWidth="1"/>
    <col min="2823" max="2823" width="10.26953125" style="2" customWidth="1"/>
    <col min="2824" max="3072" width="9.1796875" style="2"/>
    <col min="3073" max="3073" width="4.7265625" style="2" customWidth="1"/>
    <col min="3074" max="3074" width="49.1796875" style="2" customWidth="1"/>
    <col min="3075" max="3075" width="9" style="2" customWidth="1"/>
    <col min="3076" max="3076" width="10.81640625" style="2" customWidth="1"/>
    <col min="3077" max="3077" width="10.453125" style="2" customWidth="1"/>
    <col min="3078" max="3078" width="18.1796875" style="2" customWidth="1"/>
    <col min="3079" max="3079" width="10.26953125" style="2" customWidth="1"/>
    <col min="3080" max="3328" width="9.1796875" style="2"/>
    <col min="3329" max="3329" width="4.7265625" style="2" customWidth="1"/>
    <col min="3330" max="3330" width="49.1796875" style="2" customWidth="1"/>
    <col min="3331" max="3331" width="9" style="2" customWidth="1"/>
    <col min="3332" max="3332" width="10.81640625" style="2" customWidth="1"/>
    <col min="3333" max="3333" width="10.453125" style="2" customWidth="1"/>
    <col min="3334" max="3334" width="18.1796875" style="2" customWidth="1"/>
    <col min="3335" max="3335" width="10.26953125" style="2" customWidth="1"/>
    <col min="3336" max="3584" width="9.1796875" style="2"/>
    <col min="3585" max="3585" width="4.7265625" style="2" customWidth="1"/>
    <col min="3586" max="3586" width="49.1796875" style="2" customWidth="1"/>
    <col min="3587" max="3587" width="9" style="2" customWidth="1"/>
    <col min="3588" max="3588" width="10.81640625" style="2" customWidth="1"/>
    <col min="3589" max="3589" width="10.453125" style="2" customWidth="1"/>
    <col min="3590" max="3590" width="18.1796875" style="2" customWidth="1"/>
    <col min="3591" max="3591" width="10.26953125" style="2" customWidth="1"/>
    <col min="3592" max="3840" width="9.1796875" style="2"/>
    <col min="3841" max="3841" width="4.7265625" style="2" customWidth="1"/>
    <col min="3842" max="3842" width="49.1796875" style="2" customWidth="1"/>
    <col min="3843" max="3843" width="9" style="2" customWidth="1"/>
    <col min="3844" max="3844" width="10.81640625" style="2" customWidth="1"/>
    <col min="3845" max="3845" width="10.453125" style="2" customWidth="1"/>
    <col min="3846" max="3846" width="18.1796875" style="2" customWidth="1"/>
    <col min="3847" max="3847" width="10.26953125" style="2" customWidth="1"/>
    <col min="3848" max="4096" width="9.1796875" style="2"/>
    <col min="4097" max="4097" width="4.7265625" style="2" customWidth="1"/>
    <col min="4098" max="4098" width="49.1796875" style="2" customWidth="1"/>
    <col min="4099" max="4099" width="9" style="2" customWidth="1"/>
    <col min="4100" max="4100" width="10.81640625" style="2" customWidth="1"/>
    <col min="4101" max="4101" width="10.453125" style="2" customWidth="1"/>
    <col min="4102" max="4102" width="18.1796875" style="2" customWidth="1"/>
    <col min="4103" max="4103" width="10.26953125" style="2" customWidth="1"/>
    <col min="4104" max="4352" width="9.1796875" style="2"/>
    <col min="4353" max="4353" width="4.7265625" style="2" customWidth="1"/>
    <col min="4354" max="4354" width="49.1796875" style="2" customWidth="1"/>
    <col min="4355" max="4355" width="9" style="2" customWidth="1"/>
    <col min="4356" max="4356" width="10.81640625" style="2" customWidth="1"/>
    <col min="4357" max="4357" width="10.453125" style="2" customWidth="1"/>
    <col min="4358" max="4358" width="18.1796875" style="2" customWidth="1"/>
    <col min="4359" max="4359" width="10.26953125" style="2" customWidth="1"/>
    <col min="4360" max="4608" width="9.1796875" style="2"/>
    <col min="4609" max="4609" width="4.7265625" style="2" customWidth="1"/>
    <col min="4610" max="4610" width="49.1796875" style="2" customWidth="1"/>
    <col min="4611" max="4611" width="9" style="2" customWidth="1"/>
    <col min="4612" max="4612" width="10.81640625" style="2" customWidth="1"/>
    <col min="4613" max="4613" width="10.453125" style="2" customWidth="1"/>
    <col min="4614" max="4614" width="18.1796875" style="2" customWidth="1"/>
    <col min="4615" max="4615" width="10.26953125" style="2" customWidth="1"/>
    <col min="4616" max="4864" width="9.1796875" style="2"/>
    <col min="4865" max="4865" width="4.7265625" style="2" customWidth="1"/>
    <col min="4866" max="4866" width="49.1796875" style="2" customWidth="1"/>
    <col min="4867" max="4867" width="9" style="2" customWidth="1"/>
    <col min="4868" max="4868" width="10.81640625" style="2" customWidth="1"/>
    <col min="4869" max="4869" width="10.453125" style="2" customWidth="1"/>
    <col min="4870" max="4870" width="18.1796875" style="2" customWidth="1"/>
    <col min="4871" max="4871" width="10.26953125" style="2" customWidth="1"/>
    <col min="4872" max="5120" width="9.1796875" style="2"/>
    <col min="5121" max="5121" width="4.7265625" style="2" customWidth="1"/>
    <col min="5122" max="5122" width="49.1796875" style="2" customWidth="1"/>
    <col min="5123" max="5123" width="9" style="2" customWidth="1"/>
    <col min="5124" max="5124" width="10.81640625" style="2" customWidth="1"/>
    <col min="5125" max="5125" width="10.453125" style="2" customWidth="1"/>
    <col min="5126" max="5126" width="18.1796875" style="2" customWidth="1"/>
    <col min="5127" max="5127" width="10.26953125" style="2" customWidth="1"/>
    <col min="5128" max="5376" width="9.1796875" style="2"/>
    <col min="5377" max="5377" width="4.7265625" style="2" customWidth="1"/>
    <col min="5378" max="5378" width="49.1796875" style="2" customWidth="1"/>
    <col min="5379" max="5379" width="9" style="2" customWidth="1"/>
    <col min="5380" max="5380" width="10.81640625" style="2" customWidth="1"/>
    <col min="5381" max="5381" width="10.453125" style="2" customWidth="1"/>
    <col min="5382" max="5382" width="18.1796875" style="2" customWidth="1"/>
    <col min="5383" max="5383" width="10.26953125" style="2" customWidth="1"/>
    <col min="5384" max="5632" width="9.1796875" style="2"/>
    <col min="5633" max="5633" width="4.7265625" style="2" customWidth="1"/>
    <col min="5634" max="5634" width="49.1796875" style="2" customWidth="1"/>
    <col min="5635" max="5635" width="9" style="2" customWidth="1"/>
    <col min="5636" max="5636" width="10.81640625" style="2" customWidth="1"/>
    <col min="5637" max="5637" width="10.453125" style="2" customWidth="1"/>
    <col min="5638" max="5638" width="18.1796875" style="2" customWidth="1"/>
    <col min="5639" max="5639" width="10.26953125" style="2" customWidth="1"/>
    <col min="5640" max="5888" width="9.1796875" style="2"/>
    <col min="5889" max="5889" width="4.7265625" style="2" customWidth="1"/>
    <col min="5890" max="5890" width="49.1796875" style="2" customWidth="1"/>
    <col min="5891" max="5891" width="9" style="2" customWidth="1"/>
    <col min="5892" max="5892" width="10.81640625" style="2" customWidth="1"/>
    <col min="5893" max="5893" width="10.453125" style="2" customWidth="1"/>
    <col min="5894" max="5894" width="18.1796875" style="2" customWidth="1"/>
    <col min="5895" max="5895" width="10.26953125" style="2" customWidth="1"/>
    <col min="5896" max="6144" width="9.1796875" style="2"/>
    <col min="6145" max="6145" width="4.7265625" style="2" customWidth="1"/>
    <col min="6146" max="6146" width="49.1796875" style="2" customWidth="1"/>
    <col min="6147" max="6147" width="9" style="2" customWidth="1"/>
    <col min="6148" max="6148" width="10.81640625" style="2" customWidth="1"/>
    <col min="6149" max="6149" width="10.453125" style="2" customWidth="1"/>
    <col min="6150" max="6150" width="18.1796875" style="2" customWidth="1"/>
    <col min="6151" max="6151" width="10.26953125" style="2" customWidth="1"/>
    <col min="6152" max="6400" width="9.1796875" style="2"/>
    <col min="6401" max="6401" width="4.7265625" style="2" customWidth="1"/>
    <col min="6402" max="6402" width="49.1796875" style="2" customWidth="1"/>
    <col min="6403" max="6403" width="9" style="2" customWidth="1"/>
    <col min="6404" max="6404" width="10.81640625" style="2" customWidth="1"/>
    <col min="6405" max="6405" width="10.453125" style="2" customWidth="1"/>
    <col min="6406" max="6406" width="18.1796875" style="2" customWidth="1"/>
    <col min="6407" max="6407" width="10.26953125" style="2" customWidth="1"/>
    <col min="6408" max="6656" width="9.1796875" style="2"/>
    <col min="6657" max="6657" width="4.7265625" style="2" customWidth="1"/>
    <col min="6658" max="6658" width="49.1796875" style="2" customWidth="1"/>
    <col min="6659" max="6659" width="9" style="2" customWidth="1"/>
    <col min="6660" max="6660" width="10.81640625" style="2" customWidth="1"/>
    <col min="6661" max="6661" width="10.453125" style="2" customWidth="1"/>
    <col min="6662" max="6662" width="18.1796875" style="2" customWidth="1"/>
    <col min="6663" max="6663" width="10.26953125" style="2" customWidth="1"/>
    <col min="6664" max="6912" width="9.1796875" style="2"/>
    <col min="6913" max="6913" width="4.7265625" style="2" customWidth="1"/>
    <col min="6914" max="6914" width="49.1796875" style="2" customWidth="1"/>
    <col min="6915" max="6915" width="9" style="2" customWidth="1"/>
    <col min="6916" max="6916" width="10.81640625" style="2" customWidth="1"/>
    <col min="6917" max="6917" width="10.453125" style="2" customWidth="1"/>
    <col min="6918" max="6918" width="18.1796875" style="2" customWidth="1"/>
    <col min="6919" max="6919" width="10.26953125" style="2" customWidth="1"/>
    <col min="6920" max="7168" width="9.1796875" style="2"/>
    <col min="7169" max="7169" width="4.7265625" style="2" customWidth="1"/>
    <col min="7170" max="7170" width="49.1796875" style="2" customWidth="1"/>
    <col min="7171" max="7171" width="9" style="2" customWidth="1"/>
    <col min="7172" max="7172" width="10.81640625" style="2" customWidth="1"/>
    <col min="7173" max="7173" width="10.453125" style="2" customWidth="1"/>
    <col min="7174" max="7174" width="18.1796875" style="2" customWidth="1"/>
    <col min="7175" max="7175" width="10.26953125" style="2" customWidth="1"/>
    <col min="7176" max="7424" width="9.1796875" style="2"/>
    <col min="7425" max="7425" width="4.7265625" style="2" customWidth="1"/>
    <col min="7426" max="7426" width="49.1796875" style="2" customWidth="1"/>
    <col min="7427" max="7427" width="9" style="2" customWidth="1"/>
    <col min="7428" max="7428" width="10.81640625" style="2" customWidth="1"/>
    <col min="7429" max="7429" width="10.453125" style="2" customWidth="1"/>
    <col min="7430" max="7430" width="18.1796875" style="2" customWidth="1"/>
    <col min="7431" max="7431" width="10.26953125" style="2" customWidth="1"/>
    <col min="7432" max="7680" width="9.1796875" style="2"/>
    <col min="7681" max="7681" width="4.7265625" style="2" customWidth="1"/>
    <col min="7682" max="7682" width="49.1796875" style="2" customWidth="1"/>
    <col min="7683" max="7683" width="9" style="2" customWidth="1"/>
    <col min="7684" max="7684" width="10.81640625" style="2" customWidth="1"/>
    <col min="7685" max="7685" width="10.453125" style="2" customWidth="1"/>
    <col min="7686" max="7686" width="18.1796875" style="2" customWidth="1"/>
    <col min="7687" max="7687" width="10.26953125" style="2" customWidth="1"/>
    <col min="7688" max="7936" width="9.1796875" style="2"/>
    <col min="7937" max="7937" width="4.7265625" style="2" customWidth="1"/>
    <col min="7938" max="7938" width="49.1796875" style="2" customWidth="1"/>
    <col min="7939" max="7939" width="9" style="2" customWidth="1"/>
    <col min="7940" max="7940" width="10.81640625" style="2" customWidth="1"/>
    <col min="7941" max="7941" width="10.453125" style="2" customWidth="1"/>
    <col min="7942" max="7942" width="18.1796875" style="2" customWidth="1"/>
    <col min="7943" max="7943" width="10.26953125" style="2" customWidth="1"/>
    <col min="7944" max="8192" width="9.1796875" style="2"/>
    <col min="8193" max="8193" width="4.7265625" style="2" customWidth="1"/>
    <col min="8194" max="8194" width="49.1796875" style="2" customWidth="1"/>
    <col min="8195" max="8195" width="9" style="2" customWidth="1"/>
    <col min="8196" max="8196" width="10.81640625" style="2" customWidth="1"/>
    <col min="8197" max="8197" width="10.453125" style="2" customWidth="1"/>
    <col min="8198" max="8198" width="18.1796875" style="2" customWidth="1"/>
    <col min="8199" max="8199" width="10.26953125" style="2" customWidth="1"/>
    <col min="8200" max="8448" width="9.1796875" style="2"/>
    <col min="8449" max="8449" width="4.7265625" style="2" customWidth="1"/>
    <col min="8450" max="8450" width="49.1796875" style="2" customWidth="1"/>
    <col min="8451" max="8451" width="9" style="2" customWidth="1"/>
    <col min="8452" max="8452" width="10.81640625" style="2" customWidth="1"/>
    <col min="8453" max="8453" width="10.453125" style="2" customWidth="1"/>
    <col min="8454" max="8454" width="18.1796875" style="2" customWidth="1"/>
    <col min="8455" max="8455" width="10.26953125" style="2" customWidth="1"/>
    <col min="8456" max="8704" width="9.1796875" style="2"/>
    <col min="8705" max="8705" width="4.7265625" style="2" customWidth="1"/>
    <col min="8706" max="8706" width="49.1796875" style="2" customWidth="1"/>
    <col min="8707" max="8707" width="9" style="2" customWidth="1"/>
    <col min="8708" max="8708" width="10.81640625" style="2" customWidth="1"/>
    <col min="8709" max="8709" width="10.453125" style="2" customWidth="1"/>
    <col min="8710" max="8710" width="18.1796875" style="2" customWidth="1"/>
    <col min="8711" max="8711" width="10.26953125" style="2" customWidth="1"/>
    <col min="8712" max="8960" width="9.1796875" style="2"/>
    <col min="8961" max="8961" width="4.7265625" style="2" customWidth="1"/>
    <col min="8962" max="8962" width="49.1796875" style="2" customWidth="1"/>
    <col min="8963" max="8963" width="9" style="2" customWidth="1"/>
    <col min="8964" max="8964" width="10.81640625" style="2" customWidth="1"/>
    <col min="8965" max="8965" width="10.453125" style="2" customWidth="1"/>
    <col min="8966" max="8966" width="18.1796875" style="2" customWidth="1"/>
    <col min="8967" max="8967" width="10.26953125" style="2" customWidth="1"/>
    <col min="8968" max="9216" width="9.1796875" style="2"/>
    <col min="9217" max="9217" width="4.7265625" style="2" customWidth="1"/>
    <col min="9218" max="9218" width="49.1796875" style="2" customWidth="1"/>
    <col min="9219" max="9219" width="9" style="2" customWidth="1"/>
    <col min="9220" max="9220" width="10.81640625" style="2" customWidth="1"/>
    <col min="9221" max="9221" width="10.453125" style="2" customWidth="1"/>
    <col min="9222" max="9222" width="18.1796875" style="2" customWidth="1"/>
    <col min="9223" max="9223" width="10.26953125" style="2" customWidth="1"/>
    <col min="9224" max="9472" width="9.1796875" style="2"/>
    <col min="9473" max="9473" width="4.7265625" style="2" customWidth="1"/>
    <col min="9474" max="9474" width="49.1796875" style="2" customWidth="1"/>
    <col min="9475" max="9475" width="9" style="2" customWidth="1"/>
    <col min="9476" max="9476" width="10.81640625" style="2" customWidth="1"/>
    <col min="9477" max="9477" width="10.453125" style="2" customWidth="1"/>
    <col min="9478" max="9478" width="18.1796875" style="2" customWidth="1"/>
    <col min="9479" max="9479" width="10.26953125" style="2" customWidth="1"/>
    <col min="9480" max="9728" width="9.1796875" style="2"/>
    <col min="9729" max="9729" width="4.7265625" style="2" customWidth="1"/>
    <col min="9730" max="9730" width="49.1796875" style="2" customWidth="1"/>
    <col min="9731" max="9731" width="9" style="2" customWidth="1"/>
    <col min="9732" max="9732" width="10.81640625" style="2" customWidth="1"/>
    <col min="9733" max="9733" width="10.453125" style="2" customWidth="1"/>
    <col min="9734" max="9734" width="18.1796875" style="2" customWidth="1"/>
    <col min="9735" max="9735" width="10.26953125" style="2" customWidth="1"/>
    <col min="9736" max="9984" width="9.1796875" style="2"/>
    <col min="9985" max="9985" width="4.7265625" style="2" customWidth="1"/>
    <col min="9986" max="9986" width="49.1796875" style="2" customWidth="1"/>
    <col min="9987" max="9987" width="9" style="2" customWidth="1"/>
    <col min="9988" max="9988" width="10.81640625" style="2" customWidth="1"/>
    <col min="9989" max="9989" width="10.453125" style="2" customWidth="1"/>
    <col min="9990" max="9990" width="18.1796875" style="2" customWidth="1"/>
    <col min="9991" max="9991" width="10.26953125" style="2" customWidth="1"/>
    <col min="9992" max="10240" width="9.1796875" style="2"/>
    <col min="10241" max="10241" width="4.7265625" style="2" customWidth="1"/>
    <col min="10242" max="10242" width="49.1796875" style="2" customWidth="1"/>
    <col min="10243" max="10243" width="9" style="2" customWidth="1"/>
    <col min="10244" max="10244" width="10.81640625" style="2" customWidth="1"/>
    <col min="10245" max="10245" width="10.453125" style="2" customWidth="1"/>
    <col min="10246" max="10246" width="18.1796875" style="2" customWidth="1"/>
    <col min="10247" max="10247" width="10.26953125" style="2" customWidth="1"/>
    <col min="10248" max="10496" width="9.1796875" style="2"/>
    <col min="10497" max="10497" width="4.7265625" style="2" customWidth="1"/>
    <col min="10498" max="10498" width="49.1796875" style="2" customWidth="1"/>
    <col min="10499" max="10499" width="9" style="2" customWidth="1"/>
    <col min="10500" max="10500" width="10.81640625" style="2" customWidth="1"/>
    <col min="10501" max="10501" width="10.453125" style="2" customWidth="1"/>
    <col min="10502" max="10502" width="18.1796875" style="2" customWidth="1"/>
    <col min="10503" max="10503" width="10.26953125" style="2" customWidth="1"/>
    <col min="10504" max="10752" width="9.1796875" style="2"/>
    <col min="10753" max="10753" width="4.7265625" style="2" customWidth="1"/>
    <col min="10754" max="10754" width="49.1796875" style="2" customWidth="1"/>
    <col min="10755" max="10755" width="9" style="2" customWidth="1"/>
    <col min="10756" max="10756" width="10.81640625" style="2" customWidth="1"/>
    <col min="10757" max="10757" width="10.453125" style="2" customWidth="1"/>
    <col min="10758" max="10758" width="18.1796875" style="2" customWidth="1"/>
    <col min="10759" max="10759" width="10.26953125" style="2" customWidth="1"/>
    <col min="10760" max="11008" width="9.1796875" style="2"/>
    <col min="11009" max="11009" width="4.7265625" style="2" customWidth="1"/>
    <col min="11010" max="11010" width="49.1796875" style="2" customWidth="1"/>
    <col min="11011" max="11011" width="9" style="2" customWidth="1"/>
    <col min="11012" max="11012" width="10.81640625" style="2" customWidth="1"/>
    <col min="11013" max="11013" width="10.453125" style="2" customWidth="1"/>
    <col min="11014" max="11014" width="18.1796875" style="2" customWidth="1"/>
    <col min="11015" max="11015" width="10.26953125" style="2" customWidth="1"/>
    <col min="11016" max="11264" width="9.1796875" style="2"/>
    <col min="11265" max="11265" width="4.7265625" style="2" customWidth="1"/>
    <col min="11266" max="11266" width="49.1796875" style="2" customWidth="1"/>
    <col min="11267" max="11267" width="9" style="2" customWidth="1"/>
    <col min="11268" max="11268" width="10.81640625" style="2" customWidth="1"/>
    <col min="11269" max="11269" width="10.453125" style="2" customWidth="1"/>
    <col min="11270" max="11270" width="18.1796875" style="2" customWidth="1"/>
    <col min="11271" max="11271" width="10.26953125" style="2" customWidth="1"/>
    <col min="11272" max="11520" width="9.1796875" style="2"/>
    <col min="11521" max="11521" width="4.7265625" style="2" customWidth="1"/>
    <col min="11522" max="11522" width="49.1796875" style="2" customWidth="1"/>
    <col min="11523" max="11523" width="9" style="2" customWidth="1"/>
    <col min="11524" max="11524" width="10.81640625" style="2" customWidth="1"/>
    <col min="11525" max="11525" width="10.453125" style="2" customWidth="1"/>
    <col min="11526" max="11526" width="18.1796875" style="2" customWidth="1"/>
    <col min="11527" max="11527" width="10.26953125" style="2" customWidth="1"/>
    <col min="11528" max="11776" width="9.1796875" style="2"/>
    <col min="11777" max="11777" width="4.7265625" style="2" customWidth="1"/>
    <col min="11778" max="11778" width="49.1796875" style="2" customWidth="1"/>
    <col min="11779" max="11779" width="9" style="2" customWidth="1"/>
    <col min="11780" max="11780" width="10.81640625" style="2" customWidth="1"/>
    <col min="11781" max="11781" width="10.453125" style="2" customWidth="1"/>
    <col min="11782" max="11782" width="18.1796875" style="2" customWidth="1"/>
    <col min="11783" max="11783" width="10.26953125" style="2" customWidth="1"/>
    <col min="11784" max="12032" width="9.1796875" style="2"/>
    <col min="12033" max="12033" width="4.7265625" style="2" customWidth="1"/>
    <col min="12034" max="12034" width="49.1796875" style="2" customWidth="1"/>
    <col min="12035" max="12035" width="9" style="2" customWidth="1"/>
    <col min="12036" max="12036" width="10.81640625" style="2" customWidth="1"/>
    <col min="12037" max="12037" width="10.453125" style="2" customWidth="1"/>
    <col min="12038" max="12038" width="18.1796875" style="2" customWidth="1"/>
    <col min="12039" max="12039" width="10.26953125" style="2" customWidth="1"/>
    <col min="12040" max="12288" width="9.1796875" style="2"/>
    <col min="12289" max="12289" width="4.7265625" style="2" customWidth="1"/>
    <col min="12290" max="12290" width="49.1796875" style="2" customWidth="1"/>
    <col min="12291" max="12291" width="9" style="2" customWidth="1"/>
    <col min="12292" max="12292" width="10.81640625" style="2" customWidth="1"/>
    <col min="12293" max="12293" width="10.453125" style="2" customWidth="1"/>
    <col min="12294" max="12294" width="18.1796875" style="2" customWidth="1"/>
    <col min="12295" max="12295" width="10.26953125" style="2" customWidth="1"/>
    <col min="12296" max="12544" width="9.1796875" style="2"/>
    <col min="12545" max="12545" width="4.7265625" style="2" customWidth="1"/>
    <col min="12546" max="12546" width="49.1796875" style="2" customWidth="1"/>
    <col min="12547" max="12547" width="9" style="2" customWidth="1"/>
    <col min="12548" max="12548" width="10.81640625" style="2" customWidth="1"/>
    <col min="12549" max="12549" width="10.453125" style="2" customWidth="1"/>
    <col min="12550" max="12550" width="18.1796875" style="2" customWidth="1"/>
    <col min="12551" max="12551" width="10.26953125" style="2" customWidth="1"/>
    <col min="12552" max="12800" width="9.1796875" style="2"/>
    <col min="12801" max="12801" width="4.7265625" style="2" customWidth="1"/>
    <col min="12802" max="12802" width="49.1796875" style="2" customWidth="1"/>
    <col min="12803" max="12803" width="9" style="2" customWidth="1"/>
    <col min="12804" max="12804" width="10.81640625" style="2" customWidth="1"/>
    <col min="12805" max="12805" width="10.453125" style="2" customWidth="1"/>
    <col min="12806" max="12806" width="18.1796875" style="2" customWidth="1"/>
    <col min="12807" max="12807" width="10.26953125" style="2" customWidth="1"/>
    <col min="12808" max="13056" width="9.1796875" style="2"/>
    <col min="13057" max="13057" width="4.7265625" style="2" customWidth="1"/>
    <col min="13058" max="13058" width="49.1796875" style="2" customWidth="1"/>
    <col min="13059" max="13059" width="9" style="2" customWidth="1"/>
    <col min="13060" max="13060" width="10.81640625" style="2" customWidth="1"/>
    <col min="13061" max="13061" width="10.453125" style="2" customWidth="1"/>
    <col min="13062" max="13062" width="18.1796875" style="2" customWidth="1"/>
    <col min="13063" max="13063" width="10.26953125" style="2" customWidth="1"/>
    <col min="13064" max="13312" width="9.1796875" style="2"/>
    <col min="13313" max="13313" width="4.7265625" style="2" customWidth="1"/>
    <col min="13314" max="13314" width="49.1796875" style="2" customWidth="1"/>
    <col min="13315" max="13315" width="9" style="2" customWidth="1"/>
    <col min="13316" max="13316" width="10.81640625" style="2" customWidth="1"/>
    <col min="13317" max="13317" width="10.453125" style="2" customWidth="1"/>
    <col min="13318" max="13318" width="18.1796875" style="2" customWidth="1"/>
    <col min="13319" max="13319" width="10.26953125" style="2" customWidth="1"/>
    <col min="13320" max="13568" width="9.1796875" style="2"/>
    <col min="13569" max="13569" width="4.7265625" style="2" customWidth="1"/>
    <col min="13570" max="13570" width="49.1796875" style="2" customWidth="1"/>
    <col min="13571" max="13571" width="9" style="2" customWidth="1"/>
    <col min="13572" max="13572" width="10.81640625" style="2" customWidth="1"/>
    <col min="13573" max="13573" width="10.453125" style="2" customWidth="1"/>
    <col min="13574" max="13574" width="18.1796875" style="2" customWidth="1"/>
    <col min="13575" max="13575" width="10.26953125" style="2" customWidth="1"/>
    <col min="13576" max="13824" width="9.1796875" style="2"/>
    <col min="13825" max="13825" width="4.7265625" style="2" customWidth="1"/>
    <col min="13826" max="13826" width="49.1796875" style="2" customWidth="1"/>
    <col min="13827" max="13827" width="9" style="2" customWidth="1"/>
    <col min="13828" max="13828" width="10.81640625" style="2" customWidth="1"/>
    <col min="13829" max="13829" width="10.453125" style="2" customWidth="1"/>
    <col min="13830" max="13830" width="18.1796875" style="2" customWidth="1"/>
    <col min="13831" max="13831" width="10.26953125" style="2" customWidth="1"/>
    <col min="13832" max="14080" width="9.1796875" style="2"/>
    <col min="14081" max="14081" width="4.7265625" style="2" customWidth="1"/>
    <col min="14082" max="14082" width="49.1796875" style="2" customWidth="1"/>
    <col min="14083" max="14083" width="9" style="2" customWidth="1"/>
    <col min="14084" max="14084" width="10.81640625" style="2" customWidth="1"/>
    <col min="14085" max="14085" width="10.453125" style="2" customWidth="1"/>
    <col min="14086" max="14086" width="18.1796875" style="2" customWidth="1"/>
    <col min="14087" max="14087" width="10.26953125" style="2" customWidth="1"/>
    <col min="14088" max="14336" width="9.1796875" style="2"/>
    <col min="14337" max="14337" width="4.7265625" style="2" customWidth="1"/>
    <col min="14338" max="14338" width="49.1796875" style="2" customWidth="1"/>
    <col min="14339" max="14339" width="9" style="2" customWidth="1"/>
    <col min="14340" max="14340" width="10.81640625" style="2" customWidth="1"/>
    <col min="14341" max="14341" width="10.453125" style="2" customWidth="1"/>
    <col min="14342" max="14342" width="18.1796875" style="2" customWidth="1"/>
    <col min="14343" max="14343" width="10.26953125" style="2" customWidth="1"/>
    <col min="14344" max="14592" width="9.1796875" style="2"/>
    <col min="14593" max="14593" width="4.7265625" style="2" customWidth="1"/>
    <col min="14594" max="14594" width="49.1796875" style="2" customWidth="1"/>
    <col min="14595" max="14595" width="9" style="2" customWidth="1"/>
    <col min="14596" max="14596" width="10.81640625" style="2" customWidth="1"/>
    <col min="14597" max="14597" width="10.453125" style="2" customWidth="1"/>
    <col min="14598" max="14598" width="18.1796875" style="2" customWidth="1"/>
    <col min="14599" max="14599" width="10.26953125" style="2" customWidth="1"/>
    <col min="14600" max="14848" width="9.1796875" style="2"/>
    <col min="14849" max="14849" width="4.7265625" style="2" customWidth="1"/>
    <col min="14850" max="14850" width="49.1796875" style="2" customWidth="1"/>
    <col min="14851" max="14851" width="9" style="2" customWidth="1"/>
    <col min="14852" max="14852" width="10.81640625" style="2" customWidth="1"/>
    <col min="14853" max="14853" width="10.453125" style="2" customWidth="1"/>
    <col min="14854" max="14854" width="18.1796875" style="2" customWidth="1"/>
    <col min="14855" max="14855" width="10.26953125" style="2" customWidth="1"/>
    <col min="14856" max="15104" width="9.1796875" style="2"/>
    <col min="15105" max="15105" width="4.7265625" style="2" customWidth="1"/>
    <col min="15106" max="15106" width="49.1796875" style="2" customWidth="1"/>
    <col min="15107" max="15107" width="9" style="2" customWidth="1"/>
    <col min="15108" max="15108" width="10.81640625" style="2" customWidth="1"/>
    <col min="15109" max="15109" width="10.453125" style="2" customWidth="1"/>
    <col min="15110" max="15110" width="18.1796875" style="2" customWidth="1"/>
    <col min="15111" max="15111" width="10.26953125" style="2" customWidth="1"/>
    <col min="15112" max="15360" width="9.1796875" style="2"/>
    <col min="15361" max="15361" width="4.7265625" style="2" customWidth="1"/>
    <col min="15362" max="15362" width="49.1796875" style="2" customWidth="1"/>
    <col min="15363" max="15363" width="9" style="2" customWidth="1"/>
    <col min="15364" max="15364" width="10.81640625" style="2" customWidth="1"/>
    <col min="15365" max="15365" width="10.453125" style="2" customWidth="1"/>
    <col min="15366" max="15366" width="18.1796875" style="2" customWidth="1"/>
    <col min="15367" max="15367" width="10.26953125" style="2" customWidth="1"/>
    <col min="15368" max="15616" width="9.1796875" style="2"/>
    <col min="15617" max="15617" width="4.7265625" style="2" customWidth="1"/>
    <col min="15618" max="15618" width="49.1796875" style="2" customWidth="1"/>
    <col min="15619" max="15619" width="9" style="2" customWidth="1"/>
    <col min="15620" max="15620" width="10.81640625" style="2" customWidth="1"/>
    <col min="15621" max="15621" width="10.453125" style="2" customWidth="1"/>
    <col min="15622" max="15622" width="18.1796875" style="2" customWidth="1"/>
    <col min="15623" max="15623" width="10.26953125" style="2" customWidth="1"/>
    <col min="15624" max="15872" width="9.1796875" style="2"/>
    <col min="15873" max="15873" width="4.7265625" style="2" customWidth="1"/>
    <col min="15874" max="15874" width="49.1796875" style="2" customWidth="1"/>
    <col min="15875" max="15875" width="9" style="2" customWidth="1"/>
    <col min="15876" max="15876" width="10.81640625" style="2" customWidth="1"/>
    <col min="15877" max="15877" width="10.453125" style="2" customWidth="1"/>
    <col min="15878" max="15878" width="18.1796875" style="2" customWidth="1"/>
    <col min="15879" max="15879" width="10.26953125" style="2" customWidth="1"/>
    <col min="15880" max="16128" width="9.1796875" style="2"/>
    <col min="16129" max="16129" width="4.7265625" style="2" customWidth="1"/>
    <col min="16130" max="16130" width="49.1796875" style="2" customWidth="1"/>
    <col min="16131" max="16131" width="9" style="2" customWidth="1"/>
    <col min="16132" max="16132" width="10.81640625" style="2" customWidth="1"/>
    <col min="16133" max="16133" width="10.453125" style="2" customWidth="1"/>
    <col min="16134" max="16134" width="18.1796875" style="2" customWidth="1"/>
    <col min="16135" max="16135" width="10.26953125" style="2" customWidth="1"/>
    <col min="16136" max="16384" width="9.1796875" style="2"/>
  </cols>
  <sheetData>
    <row r="1" spans="1:12" ht="42" customHeight="1" x14ac:dyDescent="0.35">
      <c r="A1" s="593" t="s">
        <v>495</v>
      </c>
      <c r="B1" s="593"/>
      <c r="C1" s="593"/>
      <c r="D1" s="593"/>
      <c r="E1" s="593"/>
      <c r="F1" s="593"/>
      <c r="G1" s="593"/>
    </row>
    <row r="2" spans="1:12" ht="17.149999999999999" customHeight="1" x14ac:dyDescent="0.35">
      <c r="F2" s="594" t="s">
        <v>6</v>
      </c>
      <c r="G2" s="594"/>
    </row>
    <row r="3" spans="1:12" s="71" customFormat="1" ht="25" customHeight="1" x14ac:dyDescent="0.35">
      <c r="A3" s="574" t="s">
        <v>0</v>
      </c>
      <c r="B3" s="574" t="s">
        <v>1</v>
      </c>
      <c r="C3" s="574" t="s">
        <v>12</v>
      </c>
      <c r="D3" s="577" t="s">
        <v>9</v>
      </c>
      <c r="E3" s="577" t="s">
        <v>2</v>
      </c>
      <c r="F3" s="577"/>
      <c r="G3" s="577" t="s">
        <v>5</v>
      </c>
      <c r="H3" s="568" t="s">
        <v>647</v>
      </c>
    </row>
    <row r="4" spans="1:12" s="71" customFormat="1" ht="25" customHeight="1" x14ac:dyDescent="0.35">
      <c r="A4" s="574"/>
      <c r="B4" s="574"/>
      <c r="C4" s="574"/>
      <c r="D4" s="577"/>
      <c r="E4" s="73" t="s">
        <v>3</v>
      </c>
      <c r="F4" s="73" t="s">
        <v>4</v>
      </c>
      <c r="G4" s="577"/>
      <c r="H4" s="569"/>
    </row>
    <row r="5" spans="1:12" s="71" customFormat="1" ht="25" customHeight="1" x14ac:dyDescent="0.35">
      <c r="A5" s="72"/>
      <c r="B5" s="72" t="s">
        <v>501</v>
      </c>
      <c r="C5" s="72"/>
      <c r="D5" s="73">
        <f>+D6+D10+D17+D21+D34+D36</f>
        <v>40464.800000000003</v>
      </c>
      <c r="E5" s="73" t="e">
        <f>E6+E10+E17+E21+E34+E36+#REF!</f>
        <v>#REF!</v>
      </c>
      <c r="F5" s="73"/>
      <c r="G5" s="73" t="e">
        <f>G6+G10+G17+G21+G34+G36+#REF!</f>
        <v>#REF!</v>
      </c>
      <c r="H5" s="219"/>
    </row>
    <row r="6" spans="1:12" s="4" customFormat="1" ht="30" customHeight="1" x14ac:dyDescent="0.35">
      <c r="A6" s="68" t="s">
        <v>7</v>
      </c>
      <c r="B6" s="69" t="s">
        <v>10</v>
      </c>
      <c r="C6" s="69"/>
      <c r="D6" s="70">
        <f>SUM(D7:D9)</f>
        <v>186</v>
      </c>
      <c r="E6" s="70">
        <f t="shared" ref="E6:G6" si="0">SUM(E7:E9)</f>
        <v>186</v>
      </c>
      <c r="F6" s="70"/>
      <c r="G6" s="70">
        <f t="shared" si="0"/>
        <v>0</v>
      </c>
      <c r="H6" s="84"/>
    </row>
    <row r="7" spans="1:12" s="4" customFormat="1" ht="31" x14ac:dyDescent="0.35">
      <c r="A7" s="1">
        <v>1</v>
      </c>
      <c r="B7" s="299" t="s">
        <v>496</v>
      </c>
      <c r="C7" s="300" t="s">
        <v>463</v>
      </c>
      <c r="D7" s="301">
        <v>60</v>
      </c>
      <c r="E7" s="165">
        <v>60</v>
      </c>
      <c r="F7" s="165" t="s">
        <v>373</v>
      </c>
      <c r="G7" s="34">
        <f t="shared" ref="G7:G13" si="1">D7-E7</f>
        <v>0</v>
      </c>
      <c r="H7" s="84"/>
    </row>
    <row r="8" spans="1:12" s="4" customFormat="1" ht="31" x14ac:dyDescent="0.35">
      <c r="A8" s="1">
        <v>2</v>
      </c>
      <c r="B8" s="299" t="s">
        <v>497</v>
      </c>
      <c r="C8" s="300" t="s">
        <v>464</v>
      </c>
      <c r="D8" s="301">
        <v>20</v>
      </c>
      <c r="E8" s="165">
        <v>20</v>
      </c>
      <c r="F8" s="165" t="s">
        <v>97</v>
      </c>
      <c r="G8" s="34">
        <f t="shared" si="1"/>
        <v>0</v>
      </c>
      <c r="H8" s="84"/>
    </row>
    <row r="9" spans="1:12" s="4" customFormat="1" ht="31" x14ac:dyDescent="0.35">
      <c r="A9" s="1">
        <v>3</v>
      </c>
      <c r="B9" s="299" t="s">
        <v>498</v>
      </c>
      <c r="C9" s="301">
        <v>1417</v>
      </c>
      <c r="D9" s="301">
        <v>106</v>
      </c>
      <c r="E9" s="165">
        <v>106</v>
      </c>
      <c r="F9" s="165" t="s">
        <v>465</v>
      </c>
      <c r="G9" s="34">
        <f t="shared" si="1"/>
        <v>0</v>
      </c>
      <c r="H9" s="84"/>
    </row>
    <row r="10" spans="1:12" s="4" customFormat="1" ht="25" customHeight="1" x14ac:dyDescent="0.35">
      <c r="A10" s="68" t="s">
        <v>8</v>
      </c>
      <c r="B10" s="69" t="s">
        <v>11</v>
      </c>
      <c r="C10" s="69"/>
      <c r="D10" s="70">
        <f>D11</f>
        <v>2285</v>
      </c>
      <c r="E10" s="70">
        <f t="shared" ref="E10:G10" si="2">E11</f>
        <v>70</v>
      </c>
      <c r="F10" s="70"/>
      <c r="G10" s="70">
        <f t="shared" si="2"/>
        <v>300</v>
      </c>
      <c r="H10" s="84"/>
    </row>
    <row r="11" spans="1:12" s="3" customFormat="1" ht="35.15" customHeight="1" x14ac:dyDescent="0.35">
      <c r="A11" s="1">
        <v>2.1</v>
      </c>
      <c r="B11" s="6" t="s">
        <v>466</v>
      </c>
      <c r="C11" s="6"/>
      <c r="D11" s="9">
        <f>SUM(D12:I16)</f>
        <v>2285</v>
      </c>
      <c r="E11" s="9">
        <f t="shared" ref="E11:G11" si="3">SUM(E12:E13)</f>
        <v>70</v>
      </c>
      <c r="F11" s="9"/>
      <c r="G11" s="9">
        <f t="shared" si="3"/>
        <v>300</v>
      </c>
      <c r="H11" s="1"/>
    </row>
    <row r="12" spans="1:12" s="3" customFormat="1" ht="36" customHeight="1" x14ac:dyDescent="0.35">
      <c r="A12" s="136" t="s">
        <v>69</v>
      </c>
      <c r="B12" s="6" t="s">
        <v>500</v>
      </c>
      <c r="C12" s="1" t="s">
        <v>843</v>
      </c>
      <c r="D12" s="301">
        <v>300</v>
      </c>
      <c r="E12" s="165">
        <v>0</v>
      </c>
      <c r="F12" s="301"/>
      <c r="G12" s="33">
        <f t="shared" si="1"/>
        <v>300</v>
      </c>
      <c r="H12" s="1"/>
      <c r="L12" s="3">
        <f>13.836-3.51+0.2</f>
        <v>10.526</v>
      </c>
    </row>
    <row r="13" spans="1:12" s="3" customFormat="1" ht="36" customHeight="1" x14ac:dyDescent="0.35">
      <c r="A13" s="310" t="s">
        <v>69</v>
      </c>
      <c r="B13" s="311" t="s">
        <v>499</v>
      </c>
      <c r="C13" s="312" t="s">
        <v>467</v>
      </c>
      <c r="D13" s="301">
        <v>70</v>
      </c>
      <c r="E13" s="165">
        <v>70</v>
      </c>
      <c r="F13" s="301" t="s">
        <v>468</v>
      </c>
      <c r="G13" s="33">
        <f t="shared" si="1"/>
        <v>0</v>
      </c>
      <c r="H13" s="1"/>
    </row>
    <row r="14" spans="1:12" s="3" customFormat="1" ht="36" customHeight="1" x14ac:dyDescent="0.35">
      <c r="A14" s="136" t="s">
        <v>830</v>
      </c>
      <c r="B14" s="544" t="s">
        <v>510</v>
      </c>
      <c r="C14" s="1" t="s">
        <v>842</v>
      </c>
      <c r="D14" s="1">
        <f>10*5000/100*0.5</f>
        <v>250</v>
      </c>
      <c r="E14" s="165"/>
      <c r="F14" s="301"/>
      <c r="G14" s="33"/>
      <c r="H14" s="1"/>
    </row>
    <row r="15" spans="1:12" s="3" customFormat="1" ht="36" customHeight="1" x14ac:dyDescent="0.35">
      <c r="A15" s="1" t="s">
        <v>368</v>
      </c>
      <c r="B15" s="6" t="s">
        <v>831</v>
      </c>
      <c r="C15" s="312" t="s">
        <v>832</v>
      </c>
      <c r="D15" s="301">
        <f>2.5*500</f>
        <v>1250</v>
      </c>
      <c r="E15" s="165"/>
      <c r="F15" s="301"/>
      <c r="G15" s="33"/>
      <c r="H15" s="1"/>
    </row>
    <row r="16" spans="1:12" s="3" customFormat="1" ht="36" customHeight="1" x14ac:dyDescent="0.35">
      <c r="A16" s="136" t="s">
        <v>69</v>
      </c>
      <c r="B16" s="6" t="s">
        <v>833</v>
      </c>
      <c r="C16" s="301" t="s">
        <v>834</v>
      </c>
      <c r="D16" s="1">
        <v>45</v>
      </c>
      <c r="E16" s="165"/>
      <c r="F16" s="301"/>
      <c r="G16" s="33"/>
      <c r="H16" s="1"/>
    </row>
    <row r="17" spans="1:9" s="3" customFormat="1" ht="36" customHeight="1" x14ac:dyDescent="0.35">
      <c r="A17" s="70" t="s">
        <v>31</v>
      </c>
      <c r="B17" s="313" t="s">
        <v>154</v>
      </c>
      <c r="C17" s="314"/>
      <c r="D17" s="314">
        <f>SUM(D18:I20)</f>
        <v>21272</v>
      </c>
      <c r="E17" s="314"/>
      <c r="F17" s="314"/>
      <c r="G17" s="314">
        <f t="shared" ref="G17" si="4">SUM(G18:G19)</f>
        <v>10600</v>
      </c>
      <c r="H17" s="1"/>
    </row>
    <row r="18" spans="1:9" s="3" customFormat="1" ht="36" customHeight="1" x14ac:dyDescent="0.35">
      <c r="A18" s="310" t="s">
        <v>69</v>
      </c>
      <c r="B18" s="311" t="s">
        <v>469</v>
      </c>
      <c r="C18" s="312" t="s">
        <v>470</v>
      </c>
      <c r="D18" s="312">
        <f>E18+G18</f>
        <v>600</v>
      </c>
      <c r="E18" s="312">
        <v>0</v>
      </c>
      <c r="F18" s="315"/>
      <c r="G18" s="34">
        <v>600</v>
      </c>
      <c r="H18" s="1"/>
    </row>
    <row r="19" spans="1:9" s="3" customFormat="1" ht="36" customHeight="1" x14ac:dyDescent="0.35">
      <c r="A19" s="310" t="s">
        <v>69</v>
      </c>
      <c r="B19" s="311" t="s">
        <v>837</v>
      </c>
      <c r="C19" s="312"/>
      <c r="D19" s="312">
        <f>E19+G19</f>
        <v>10000</v>
      </c>
      <c r="E19" s="312">
        <v>0</v>
      </c>
      <c r="F19" s="315"/>
      <c r="G19" s="305">
        <v>10000</v>
      </c>
      <c r="H19" s="1"/>
    </row>
    <row r="20" spans="1:9" s="3" customFormat="1" ht="36" customHeight="1" x14ac:dyDescent="0.35">
      <c r="A20" s="310" t="s">
        <v>69</v>
      </c>
      <c r="B20" s="311" t="s">
        <v>835</v>
      </c>
      <c r="C20" s="312" t="s">
        <v>836</v>
      </c>
      <c r="D20" s="312">
        <v>72</v>
      </c>
      <c r="E20" s="312"/>
      <c r="F20" s="315"/>
      <c r="G20" s="305"/>
      <c r="H20" s="1"/>
    </row>
    <row r="21" spans="1:9" s="3" customFormat="1" ht="25" customHeight="1" x14ac:dyDescent="0.35">
      <c r="A21" s="316" t="s">
        <v>35</v>
      </c>
      <c r="B21" s="317" t="s">
        <v>471</v>
      </c>
      <c r="C21" s="316"/>
      <c r="D21" s="316">
        <f>D22+D26+D30</f>
        <v>7746</v>
      </c>
      <c r="E21" s="316">
        <f t="shared" ref="E21:G21" si="5">E22+E30+E26</f>
        <v>1340</v>
      </c>
      <c r="F21" s="316">
        <f t="shared" si="5"/>
        <v>0</v>
      </c>
      <c r="G21" s="316">
        <f t="shared" si="5"/>
        <v>6406</v>
      </c>
      <c r="H21" s="1"/>
    </row>
    <row r="22" spans="1:9" s="3" customFormat="1" ht="25" customHeight="1" x14ac:dyDescent="0.35">
      <c r="A22" s="77">
        <v>1</v>
      </c>
      <c r="B22" s="318" t="s">
        <v>472</v>
      </c>
      <c r="C22" s="319"/>
      <c r="D22" s="319">
        <f>SUM(D24:D25)</f>
        <v>456</v>
      </c>
      <c r="E22" s="319">
        <f t="shared" ref="E22:G22" si="6">SUM(E24:E25)</f>
        <v>0</v>
      </c>
      <c r="F22" s="319">
        <f t="shared" si="6"/>
        <v>0</v>
      </c>
      <c r="G22" s="319">
        <f t="shared" si="6"/>
        <v>456</v>
      </c>
      <c r="H22" s="1"/>
    </row>
    <row r="23" spans="1:9" s="3" customFormat="1" ht="25" customHeight="1" x14ac:dyDescent="0.35">
      <c r="A23" s="320"/>
      <c r="B23" s="321" t="s">
        <v>473</v>
      </c>
      <c r="C23" s="312" t="s">
        <v>474</v>
      </c>
      <c r="D23" s="312">
        <f>E23+G23</f>
        <v>150</v>
      </c>
      <c r="E23" s="312"/>
      <c r="F23" s="315"/>
      <c r="G23" s="34">
        <v>150</v>
      </c>
      <c r="H23" s="1"/>
    </row>
    <row r="24" spans="1:9" s="3" customFormat="1" ht="62" x14ac:dyDescent="0.35">
      <c r="A24" s="322" t="s">
        <v>69</v>
      </c>
      <c r="B24" s="34" t="s">
        <v>475</v>
      </c>
      <c r="C24" s="323"/>
      <c r="D24" s="312">
        <f t="shared" ref="D24:D25" si="7">E24+G24</f>
        <v>376</v>
      </c>
      <c r="E24" s="312">
        <v>0</v>
      </c>
      <c r="F24" s="315"/>
      <c r="G24" s="34">
        <v>376</v>
      </c>
      <c r="H24" s="1"/>
    </row>
    <row r="25" spans="1:9" s="4" customFormat="1" ht="25.5" customHeight="1" x14ac:dyDescent="0.35">
      <c r="A25" s="322" t="s">
        <v>69</v>
      </c>
      <c r="B25" s="34" t="s">
        <v>476</v>
      </c>
      <c r="C25" s="323" t="s">
        <v>477</v>
      </c>
      <c r="D25" s="312">
        <f t="shared" si="7"/>
        <v>80</v>
      </c>
      <c r="E25" s="312"/>
      <c r="F25" s="315"/>
      <c r="G25" s="34">
        <v>80</v>
      </c>
      <c r="H25" s="84"/>
    </row>
    <row r="26" spans="1:9" ht="25" customHeight="1" x14ac:dyDescent="0.35">
      <c r="A26" s="77">
        <v>2</v>
      </c>
      <c r="B26" s="318" t="s">
        <v>478</v>
      </c>
      <c r="C26" s="324"/>
      <c r="D26" s="319">
        <f>SUM(D27:D29)</f>
        <v>840</v>
      </c>
      <c r="E26" s="319">
        <f t="shared" ref="E26:G26" si="8">SUM(E27:E29)</f>
        <v>140</v>
      </c>
      <c r="F26" s="319">
        <f t="shared" si="8"/>
        <v>0</v>
      </c>
      <c r="G26" s="319">
        <f t="shared" si="8"/>
        <v>700</v>
      </c>
      <c r="H26" s="59"/>
    </row>
    <row r="27" spans="1:9" ht="31" x14ac:dyDescent="0.35">
      <c r="A27" s="325" t="s">
        <v>368</v>
      </c>
      <c r="B27" s="321" t="s">
        <v>479</v>
      </c>
      <c r="C27" s="323" t="s">
        <v>838</v>
      </c>
      <c r="D27" s="312">
        <f>E27+G27</f>
        <v>140</v>
      </c>
      <c r="E27" s="312">
        <v>140</v>
      </c>
      <c r="F27" s="315" t="s">
        <v>480</v>
      </c>
      <c r="G27" s="34">
        <v>0</v>
      </c>
      <c r="H27" s="59"/>
    </row>
    <row r="28" spans="1:9" ht="33" customHeight="1" x14ac:dyDescent="0.35">
      <c r="A28" s="325"/>
      <c r="B28" s="321" t="s">
        <v>481</v>
      </c>
      <c r="C28" s="323" t="s">
        <v>482</v>
      </c>
      <c r="D28" s="312">
        <f t="shared" ref="D28:D29" si="9">E28+G28</f>
        <v>300</v>
      </c>
      <c r="E28" s="312"/>
      <c r="F28" s="315"/>
      <c r="G28" s="34">
        <v>300</v>
      </c>
      <c r="H28" s="59"/>
    </row>
    <row r="29" spans="1:9" ht="31" x14ac:dyDescent="0.35">
      <c r="A29" s="325"/>
      <c r="B29" s="34" t="s">
        <v>483</v>
      </c>
      <c r="C29" s="323"/>
      <c r="D29" s="312">
        <f t="shared" si="9"/>
        <v>400</v>
      </c>
      <c r="E29" s="312">
        <v>0</v>
      </c>
      <c r="F29" s="315"/>
      <c r="G29" s="34">
        <v>400</v>
      </c>
      <c r="H29" s="59"/>
    </row>
    <row r="30" spans="1:9" ht="25" customHeight="1" x14ac:dyDescent="0.35">
      <c r="A30" s="77">
        <v>3</v>
      </c>
      <c r="B30" s="326" t="s">
        <v>484</v>
      </c>
      <c r="C30" s="319"/>
      <c r="D30" s="319">
        <f>D31+D32+D33</f>
        <v>6450</v>
      </c>
      <c r="E30" s="319">
        <f>SUM(E31:E33)</f>
        <v>1200</v>
      </c>
      <c r="F30" s="319"/>
      <c r="G30" s="319">
        <f t="shared" ref="G30" si="10">SUM(G31:G33)</f>
        <v>5250</v>
      </c>
      <c r="H30" s="59"/>
    </row>
    <row r="31" spans="1:9" ht="93" x14ac:dyDescent="0.35">
      <c r="A31" s="325" t="s">
        <v>368</v>
      </c>
      <c r="B31" s="34" t="s">
        <v>485</v>
      </c>
      <c r="C31" s="312"/>
      <c r="D31" s="312">
        <f>E31+G31</f>
        <v>3100</v>
      </c>
      <c r="E31" s="312">
        <v>0</v>
      </c>
      <c r="F31" s="315"/>
      <c r="G31" s="34">
        <v>3100</v>
      </c>
      <c r="H31" s="59"/>
    </row>
    <row r="32" spans="1:9" ht="25" customHeight="1" x14ac:dyDescent="0.35">
      <c r="A32" s="310" t="s">
        <v>69</v>
      </c>
      <c r="B32" s="302" t="s">
        <v>486</v>
      </c>
      <c r="C32" s="302" t="s">
        <v>487</v>
      </c>
      <c r="D32" s="312">
        <f t="shared" ref="D32:D33" si="11">E32+G32</f>
        <v>3100</v>
      </c>
      <c r="E32" s="312">
        <v>1200</v>
      </c>
      <c r="F32" s="315" t="s">
        <v>480</v>
      </c>
      <c r="G32" s="34">
        <v>1900</v>
      </c>
      <c r="H32" s="59"/>
      <c r="I32" s="2">
        <f>3.1-1.2</f>
        <v>1.9000000000000001</v>
      </c>
    </row>
    <row r="33" spans="1:8" ht="25" customHeight="1" x14ac:dyDescent="0.35">
      <c r="A33" s="310" t="s">
        <v>69</v>
      </c>
      <c r="B33" s="302" t="s">
        <v>488</v>
      </c>
      <c r="C33" s="302" t="s">
        <v>489</v>
      </c>
      <c r="D33" s="312">
        <f t="shared" si="11"/>
        <v>250</v>
      </c>
      <c r="E33" s="312"/>
      <c r="F33" s="315"/>
      <c r="G33" s="34">
        <v>250</v>
      </c>
      <c r="H33" s="59"/>
    </row>
    <row r="34" spans="1:8" ht="21.75" customHeight="1" x14ac:dyDescent="0.35">
      <c r="A34" s="70" t="s">
        <v>44</v>
      </c>
      <c r="B34" s="306" t="s">
        <v>490</v>
      </c>
      <c r="C34" s="306"/>
      <c r="D34" s="70">
        <f>E34+G34</f>
        <v>300</v>
      </c>
      <c r="E34" s="70">
        <f>E35</f>
        <v>0</v>
      </c>
      <c r="F34" s="70">
        <f>F35</f>
        <v>0</v>
      </c>
      <c r="G34" s="307">
        <f>G35</f>
        <v>300</v>
      </c>
      <c r="H34" s="59"/>
    </row>
    <row r="35" spans="1:8" ht="31" x14ac:dyDescent="0.35">
      <c r="A35" s="325"/>
      <c r="B35" s="81" t="s">
        <v>858</v>
      </c>
      <c r="C35" s="33">
        <v>10</v>
      </c>
      <c r="D35" s="33">
        <f>E35+G35</f>
        <v>300</v>
      </c>
      <c r="E35" s="33">
        <v>0</v>
      </c>
      <c r="F35" s="33"/>
      <c r="G35" s="126">
        <f>C35*30</f>
        <v>300</v>
      </c>
      <c r="H35" s="59"/>
    </row>
    <row r="36" spans="1:8" ht="25" customHeight="1" x14ac:dyDescent="0.35">
      <c r="A36" s="70" t="s">
        <v>60</v>
      </c>
      <c r="B36" s="313" t="s">
        <v>491</v>
      </c>
      <c r="C36" s="313"/>
      <c r="D36" s="313">
        <f>SUM(D37:D43)</f>
        <v>8675.7999999999993</v>
      </c>
      <c r="E36" s="313">
        <f>SUM(E37:E43)</f>
        <v>2560</v>
      </c>
      <c r="F36" s="313">
        <f t="shared" ref="F36" si="12">SUM(F37:F38)</f>
        <v>0</v>
      </c>
      <c r="G36" s="313">
        <f>SUM(G37:G43)</f>
        <v>6115.8</v>
      </c>
      <c r="H36" s="59"/>
    </row>
    <row r="37" spans="1:8" ht="31" customHeight="1" x14ac:dyDescent="0.35">
      <c r="A37" s="310" t="s">
        <v>69</v>
      </c>
      <c r="B37" s="311" t="s">
        <v>492</v>
      </c>
      <c r="C37" s="325" t="s">
        <v>839</v>
      </c>
      <c r="D37" s="311">
        <f>E37+G37</f>
        <v>400</v>
      </c>
      <c r="E37" s="311">
        <v>0</v>
      </c>
      <c r="F37" s="311"/>
      <c r="G37" s="34">
        <v>400</v>
      </c>
      <c r="H37" s="59"/>
    </row>
    <row r="38" spans="1:8" ht="31" x14ac:dyDescent="0.35">
      <c r="A38" s="310" t="s">
        <v>69</v>
      </c>
      <c r="B38" s="311" t="s">
        <v>829</v>
      </c>
      <c r="C38" s="325" t="s">
        <v>840</v>
      </c>
      <c r="D38" s="311">
        <f>E38+G38</f>
        <v>900</v>
      </c>
      <c r="E38" s="311">
        <v>0</v>
      </c>
      <c r="F38" s="311"/>
      <c r="G38" s="34">
        <v>900</v>
      </c>
      <c r="H38" s="59"/>
    </row>
    <row r="39" spans="1:8" ht="46.5" x14ac:dyDescent="0.35">
      <c r="A39" s="310" t="s">
        <v>69</v>
      </c>
      <c r="B39" s="81" t="s">
        <v>446</v>
      </c>
      <c r="C39" s="33" t="s">
        <v>841</v>
      </c>
      <c r="D39" s="311">
        <f t="shared" ref="D39:D43" si="13">E39+G39</f>
        <v>1290</v>
      </c>
      <c r="E39" s="33"/>
      <c r="F39" s="33"/>
      <c r="G39" s="305">
        <v>1290</v>
      </c>
      <c r="H39" s="59"/>
    </row>
    <row r="40" spans="1:8" ht="53.25" customHeight="1" x14ac:dyDescent="0.35">
      <c r="A40" s="310" t="s">
        <v>69</v>
      </c>
      <c r="B40" s="81" t="s">
        <v>448</v>
      </c>
      <c r="C40" s="33" t="s">
        <v>449</v>
      </c>
      <c r="D40" s="311">
        <f t="shared" si="13"/>
        <v>30</v>
      </c>
      <c r="E40" s="33"/>
      <c r="F40" s="33"/>
      <c r="G40" s="34">
        <v>30</v>
      </c>
      <c r="H40" s="59"/>
    </row>
    <row r="41" spans="1:8" ht="48" customHeight="1" x14ac:dyDescent="0.35">
      <c r="A41" s="310" t="s">
        <v>69</v>
      </c>
      <c r="B41" s="81" t="s">
        <v>828</v>
      </c>
      <c r="C41" s="33"/>
      <c r="D41" s="311">
        <f t="shared" si="13"/>
        <v>5832</v>
      </c>
      <c r="E41" s="78">
        <v>2550</v>
      </c>
      <c r="F41" s="33" t="s">
        <v>493</v>
      </c>
      <c r="G41" s="305">
        <v>3282</v>
      </c>
      <c r="H41" s="59"/>
    </row>
    <row r="42" spans="1:8" ht="31" x14ac:dyDescent="0.35">
      <c r="A42" s="310" t="s">
        <v>69</v>
      </c>
      <c r="B42" s="81" t="s">
        <v>451</v>
      </c>
      <c r="C42" s="33" t="s">
        <v>122</v>
      </c>
      <c r="D42" s="311">
        <f t="shared" si="13"/>
        <v>195</v>
      </c>
      <c r="E42" s="33">
        <v>10</v>
      </c>
      <c r="F42" s="33" t="s">
        <v>97</v>
      </c>
      <c r="G42" s="34">
        <v>185</v>
      </c>
      <c r="H42" s="59"/>
    </row>
    <row r="43" spans="1:8" ht="31" x14ac:dyDescent="0.35">
      <c r="A43" s="310" t="s">
        <v>69</v>
      </c>
      <c r="B43" s="81" t="s">
        <v>454</v>
      </c>
      <c r="C43" s="33" t="s">
        <v>494</v>
      </c>
      <c r="D43" s="327">
        <f t="shared" si="13"/>
        <v>28.8</v>
      </c>
      <c r="E43" s="33">
        <v>0</v>
      </c>
      <c r="F43" s="33"/>
      <c r="G43" s="34">
        <v>28.8</v>
      </c>
      <c r="H43" s="59"/>
    </row>
  </sheetData>
  <mergeCells count="9">
    <mergeCell ref="H3:H4"/>
    <mergeCell ref="A1:G1"/>
    <mergeCell ref="F2:G2"/>
    <mergeCell ref="A3:A4"/>
    <mergeCell ref="B3:B4"/>
    <mergeCell ref="C3:C4"/>
    <mergeCell ref="D3:D4"/>
    <mergeCell ref="E3:F3"/>
    <mergeCell ref="G3:G4"/>
  </mergeCells>
  <pageMargins left="0.7" right="0.1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6"/>
  <sheetViews>
    <sheetView workbookViewId="0">
      <selection activeCell="G1" sqref="G1"/>
    </sheetView>
  </sheetViews>
  <sheetFormatPr defaultRowHeight="14.5" x14ac:dyDescent="0.35"/>
  <cols>
    <col min="1" max="1" width="7.1796875" customWidth="1"/>
    <col min="2" max="2" width="39.26953125" customWidth="1"/>
    <col min="3" max="3" width="15.7265625" style="483" customWidth="1"/>
    <col min="4" max="4" width="13.81640625" customWidth="1"/>
    <col min="5" max="5" width="14.54296875" customWidth="1"/>
  </cols>
  <sheetData>
    <row r="1" spans="1:5" ht="39" customHeight="1" x14ac:dyDescent="0.35">
      <c r="A1" s="593" t="s">
        <v>812</v>
      </c>
      <c r="B1" s="593"/>
      <c r="C1" s="593"/>
      <c r="D1" s="593"/>
      <c r="E1" s="593"/>
    </row>
    <row r="2" spans="1:5" ht="15.5" x14ac:dyDescent="0.35">
      <c r="A2" s="2"/>
      <c r="B2" s="5"/>
      <c r="C2" s="2"/>
      <c r="D2" s="594" t="s">
        <v>6</v>
      </c>
      <c r="E2" s="594"/>
    </row>
    <row r="3" spans="1:5" ht="15.75" customHeight="1" x14ac:dyDescent="0.35">
      <c r="A3" s="574" t="s">
        <v>0</v>
      </c>
      <c r="B3" s="574" t="s">
        <v>1</v>
      </c>
      <c r="C3" s="575" t="s">
        <v>645</v>
      </c>
      <c r="D3" s="574" t="s">
        <v>12</v>
      </c>
      <c r="E3" s="577" t="s">
        <v>9</v>
      </c>
    </row>
    <row r="4" spans="1:5" ht="15.75" customHeight="1" x14ac:dyDescent="0.35">
      <c r="A4" s="574"/>
      <c r="B4" s="574"/>
      <c r="C4" s="576"/>
      <c r="D4" s="574"/>
      <c r="E4" s="577"/>
    </row>
    <row r="5" spans="1:5" ht="15" x14ac:dyDescent="0.35">
      <c r="A5" s="11" t="s">
        <v>16</v>
      </c>
      <c r="B5" s="12" t="s">
        <v>502</v>
      </c>
      <c r="C5" s="11"/>
      <c r="D5" s="11"/>
      <c r="E5" s="295">
        <f>E6+E26+E44+E62+E81+E99+E117+E135+E151</f>
        <v>14407.061333333331</v>
      </c>
    </row>
    <row r="6" spans="1:5" ht="15" x14ac:dyDescent="0.35">
      <c r="A6" s="15" t="s">
        <v>7</v>
      </c>
      <c r="B6" s="16" t="s">
        <v>18</v>
      </c>
      <c r="C6" s="15"/>
      <c r="D6" s="15"/>
      <c r="E6" s="127">
        <f>E7+E12+E16+E18+E21+E24</f>
        <v>1874.0386666666666</v>
      </c>
    </row>
    <row r="7" spans="1:5" ht="15" x14ac:dyDescent="0.35">
      <c r="A7" s="72">
        <v>1</v>
      </c>
      <c r="B7" s="328" t="s">
        <v>13</v>
      </c>
      <c r="C7" s="329"/>
      <c r="D7" s="329"/>
      <c r="E7" s="330">
        <f>E8+E9</f>
        <v>1473</v>
      </c>
    </row>
    <row r="8" spans="1:5" ht="15.5" x14ac:dyDescent="0.35">
      <c r="A8" s="136" t="s">
        <v>69</v>
      </c>
      <c r="B8" s="304" t="s">
        <v>503</v>
      </c>
      <c r="C8" s="303" t="s">
        <v>767</v>
      </c>
      <c r="D8" s="303">
        <v>12</v>
      </c>
      <c r="E8" s="330">
        <f>12*20</f>
        <v>240</v>
      </c>
    </row>
    <row r="9" spans="1:5" ht="15.5" x14ac:dyDescent="0.35">
      <c r="A9" s="158" t="s">
        <v>69</v>
      </c>
      <c r="B9" s="331" t="s">
        <v>21</v>
      </c>
      <c r="C9" s="303"/>
      <c r="D9" s="303"/>
      <c r="E9" s="330">
        <f>SUM(E10:E11)</f>
        <v>1233</v>
      </c>
    </row>
    <row r="10" spans="1:5" ht="15.5" x14ac:dyDescent="0.35">
      <c r="A10" s="1"/>
      <c r="B10" s="334" t="s">
        <v>23</v>
      </c>
      <c r="C10" s="439" t="s">
        <v>767</v>
      </c>
      <c r="D10" s="28">
        <v>59</v>
      </c>
      <c r="E10" s="332">
        <f>59*7</f>
        <v>413</v>
      </c>
    </row>
    <row r="11" spans="1:5" ht="15.5" x14ac:dyDescent="0.35">
      <c r="A11" s="1"/>
      <c r="B11" s="334" t="s">
        <v>504</v>
      </c>
      <c r="C11" s="439" t="s">
        <v>767</v>
      </c>
      <c r="D11" s="28">
        <v>82</v>
      </c>
      <c r="E11" s="332">
        <f>D11*10</f>
        <v>820</v>
      </c>
    </row>
    <row r="12" spans="1:5" ht="15" x14ac:dyDescent="0.35">
      <c r="A12" s="72">
        <v>2</v>
      </c>
      <c r="B12" s="328" t="s">
        <v>14</v>
      </c>
      <c r="C12" s="329"/>
      <c r="D12" s="329"/>
      <c r="E12" s="330">
        <f>SUM(E13:E15)</f>
        <v>139</v>
      </c>
    </row>
    <row r="13" spans="1:5" ht="31" x14ac:dyDescent="0.35">
      <c r="A13" s="72" t="s">
        <v>22</v>
      </c>
      <c r="B13" s="331" t="s">
        <v>505</v>
      </c>
      <c r="C13" s="303" t="s">
        <v>789</v>
      </c>
      <c r="D13" s="303">
        <v>59</v>
      </c>
      <c r="E13" s="333">
        <f>59*2</f>
        <v>118</v>
      </c>
    </row>
    <row r="14" spans="1:5" ht="31" x14ac:dyDescent="0.35">
      <c r="A14" s="59" t="s">
        <v>22</v>
      </c>
      <c r="B14" s="331" t="s">
        <v>506</v>
      </c>
      <c r="C14" s="303" t="s">
        <v>790</v>
      </c>
      <c r="D14" s="303">
        <v>8</v>
      </c>
      <c r="E14" s="333">
        <f>D14*1.5</f>
        <v>12</v>
      </c>
    </row>
    <row r="15" spans="1:5" ht="15.5" x14ac:dyDescent="0.35">
      <c r="A15" s="59" t="s">
        <v>22</v>
      </c>
      <c r="B15" s="331" t="s">
        <v>507</v>
      </c>
      <c r="C15" s="303" t="s">
        <v>790</v>
      </c>
      <c r="D15" s="303">
        <v>3</v>
      </c>
      <c r="E15" s="333">
        <f>D15*3</f>
        <v>9</v>
      </c>
    </row>
    <row r="16" spans="1:5" ht="15" x14ac:dyDescent="0.35">
      <c r="A16" s="219">
        <v>3</v>
      </c>
      <c r="B16" s="328" t="s">
        <v>32</v>
      </c>
      <c r="C16" s="329"/>
      <c r="D16" s="329"/>
      <c r="E16" s="335">
        <f>E17</f>
        <v>19.452000000000002</v>
      </c>
    </row>
    <row r="17" spans="1:5" ht="15.5" x14ac:dyDescent="0.35">
      <c r="A17" s="59"/>
      <c r="B17" s="331" t="s">
        <v>508</v>
      </c>
      <c r="C17" s="303" t="s">
        <v>654</v>
      </c>
      <c r="D17" s="303">
        <v>1621</v>
      </c>
      <c r="E17" s="336">
        <f>D17*0.012</f>
        <v>19.452000000000002</v>
      </c>
    </row>
    <row r="18" spans="1:5" ht="15.5" x14ac:dyDescent="0.35">
      <c r="A18" s="59">
        <v>4</v>
      </c>
      <c r="B18" s="328" t="s">
        <v>11</v>
      </c>
      <c r="C18" s="329"/>
      <c r="D18" s="329"/>
      <c r="E18" s="335">
        <f>SUM(E19:E20)</f>
        <v>47.5</v>
      </c>
    </row>
    <row r="19" spans="1:5" ht="31" x14ac:dyDescent="0.35">
      <c r="A19" s="309" t="s">
        <v>69</v>
      </c>
      <c r="B19" s="331" t="s">
        <v>509</v>
      </c>
      <c r="C19" s="303" t="s">
        <v>792</v>
      </c>
      <c r="D19" s="303">
        <v>50</v>
      </c>
      <c r="E19" s="336">
        <f>D19*0.07</f>
        <v>3.5000000000000004</v>
      </c>
    </row>
    <row r="20" spans="1:5" ht="15.5" x14ac:dyDescent="0.35">
      <c r="A20" s="309" t="s">
        <v>69</v>
      </c>
      <c r="B20" s="331" t="s">
        <v>510</v>
      </c>
      <c r="C20" s="303" t="s">
        <v>654</v>
      </c>
      <c r="D20" s="303">
        <v>800</v>
      </c>
      <c r="E20" s="333">
        <f>D20*0.055</f>
        <v>44</v>
      </c>
    </row>
    <row r="21" spans="1:5" ht="15.5" x14ac:dyDescent="0.35">
      <c r="A21" s="59">
        <v>5</v>
      </c>
      <c r="B21" s="328" t="s">
        <v>61</v>
      </c>
      <c r="C21" s="329"/>
      <c r="D21" s="329"/>
      <c r="E21" s="335">
        <f>E22+E23</f>
        <v>115.08666666666667</v>
      </c>
    </row>
    <row r="22" spans="1:5" ht="31" x14ac:dyDescent="0.35">
      <c r="A22" s="309" t="s">
        <v>69</v>
      </c>
      <c r="B22" s="331" t="s">
        <v>511</v>
      </c>
      <c r="C22" s="303" t="s">
        <v>681</v>
      </c>
      <c r="D22" s="303">
        <v>50</v>
      </c>
      <c r="E22" s="333">
        <f>D22*0.025*40</f>
        <v>50</v>
      </c>
    </row>
    <row r="23" spans="1:5" ht="15.5" x14ac:dyDescent="0.35">
      <c r="A23" s="309" t="s">
        <v>69</v>
      </c>
      <c r="B23" s="331" t="s">
        <v>512</v>
      </c>
      <c r="C23" s="303" t="s">
        <v>654</v>
      </c>
      <c r="D23" s="303">
        <v>1502</v>
      </c>
      <c r="E23" s="336">
        <f>D23/30*1.3</f>
        <v>65.086666666666673</v>
      </c>
    </row>
    <row r="24" spans="1:5" ht="15.5" x14ac:dyDescent="0.35">
      <c r="A24" s="59">
        <v>6</v>
      </c>
      <c r="B24" s="328" t="s">
        <v>66</v>
      </c>
      <c r="C24" s="329"/>
      <c r="D24" s="329"/>
      <c r="E24" s="335">
        <f>SUM(E25:E25)</f>
        <v>80</v>
      </c>
    </row>
    <row r="25" spans="1:5" ht="31" x14ac:dyDescent="0.35">
      <c r="A25" s="309" t="s">
        <v>69</v>
      </c>
      <c r="B25" s="331" t="s">
        <v>513</v>
      </c>
      <c r="C25" s="303" t="s">
        <v>791</v>
      </c>
      <c r="D25" s="303">
        <v>40</v>
      </c>
      <c r="E25" s="332">
        <f>D25*2</f>
        <v>80</v>
      </c>
    </row>
    <row r="26" spans="1:5" ht="15" x14ac:dyDescent="0.35">
      <c r="A26" s="15" t="s">
        <v>8</v>
      </c>
      <c r="B26" s="16" t="s">
        <v>77</v>
      </c>
      <c r="C26" s="15"/>
      <c r="D26" s="15"/>
      <c r="E26" s="145">
        <f>E27+E32+E36+E38+E40+E42</f>
        <v>2000.5233333333333</v>
      </c>
    </row>
    <row r="27" spans="1:5" ht="15" x14ac:dyDescent="0.35">
      <c r="A27" s="72">
        <v>1</v>
      </c>
      <c r="B27" s="328" t="s">
        <v>13</v>
      </c>
      <c r="C27" s="329"/>
      <c r="D27" s="329"/>
      <c r="E27" s="339">
        <f>E28+E29</f>
        <v>1673</v>
      </c>
    </row>
    <row r="28" spans="1:5" ht="15.5" x14ac:dyDescent="0.35">
      <c r="A28" s="158" t="s">
        <v>69</v>
      </c>
      <c r="B28" s="304" t="s">
        <v>503</v>
      </c>
      <c r="C28" s="303" t="s">
        <v>767</v>
      </c>
      <c r="D28" s="303">
        <v>15</v>
      </c>
      <c r="E28" s="340">
        <f>12*20</f>
        <v>240</v>
      </c>
    </row>
    <row r="29" spans="1:5" ht="15.5" x14ac:dyDescent="0.35">
      <c r="A29" s="158" t="s">
        <v>69</v>
      </c>
      <c r="B29" s="331" t="s">
        <v>21</v>
      </c>
      <c r="C29" s="303"/>
      <c r="D29" s="303"/>
      <c r="E29" s="340">
        <f>SUM(E30:E31)</f>
        <v>1433</v>
      </c>
    </row>
    <row r="30" spans="1:5" ht="15.5" x14ac:dyDescent="0.35">
      <c r="A30" s="72"/>
      <c r="B30" s="334" t="s">
        <v>23</v>
      </c>
      <c r="C30" s="439" t="s">
        <v>767</v>
      </c>
      <c r="D30" s="28">
        <v>101</v>
      </c>
      <c r="E30" s="341">
        <f>59*7</f>
        <v>413</v>
      </c>
    </row>
    <row r="31" spans="1:5" ht="15.5" x14ac:dyDescent="0.35">
      <c r="A31" s="72"/>
      <c r="B31" s="334" t="s">
        <v>504</v>
      </c>
      <c r="C31" s="439" t="s">
        <v>767</v>
      </c>
      <c r="D31" s="28">
        <v>102</v>
      </c>
      <c r="E31" s="341">
        <f>D31*10</f>
        <v>1020</v>
      </c>
    </row>
    <row r="32" spans="1:5" ht="15" x14ac:dyDescent="0.35">
      <c r="A32" s="72">
        <v>2</v>
      </c>
      <c r="B32" s="328" t="s">
        <v>14</v>
      </c>
      <c r="C32" s="329"/>
      <c r="D32" s="329"/>
      <c r="E32" s="339">
        <f>SUM(E33:E35)</f>
        <v>135</v>
      </c>
    </row>
    <row r="33" spans="1:5" ht="31" x14ac:dyDescent="0.35">
      <c r="A33" s="72" t="s">
        <v>22</v>
      </c>
      <c r="B33" s="331" t="s">
        <v>505</v>
      </c>
      <c r="C33" s="303" t="s">
        <v>789</v>
      </c>
      <c r="D33" s="303">
        <v>60</v>
      </c>
      <c r="E33" s="340">
        <f>D33*2</f>
        <v>120</v>
      </c>
    </row>
    <row r="34" spans="1:5" ht="31" x14ac:dyDescent="0.35">
      <c r="A34" s="219" t="s">
        <v>22</v>
      </c>
      <c r="B34" s="331" t="s">
        <v>506</v>
      </c>
      <c r="C34" s="303" t="s">
        <v>790</v>
      </c>
      <c r="D34" s="303">
        <v>6</v>
      </c>
      <c r="E34" s="340">
        <f>D34*1.5</f>
        <v>9</v>
      </c>
    </row>
    <row r="35" spans="1:5" ht="15.5" x14ac:dyDescent="0.35">
      <c r="A35" s="219" t="s">
        <v>22</v>
      </c>
      <c r="B35" s="331" t="s">
        <v>507</v>
      </c>
      <c r="C35" s="303" t="s">
        <v>790</v>
      </c>
      <c r="D35" s="303">
        <v>2</v>
      </c>
      <c r="E35" s="340">
        <f>D35*3</f>
        <v>6</v>
      </c>
    </row>
    <row r="36" spans="1:5" ht="15" x14ac:dyDescent="0.35">
      <c r="A36" s="219">
        <v>3</v>
      </c>
      <c r="B36" s="328" t="s">
        <v>32</v>
      </c>
      <c r="C36" s="329"/>
      <c r="D36" s="329"/>
      <c r="E36" s="337">
        <f>E37</f>
        <v>15.6</v>
      </c>
    </row>
    <row r="37" spans="1:5" ht="15.5" x14ac:dyDescent="0.35">
      <c r="A37" s="219"/>
      <c r="B37" s="331" t="s">
        <v>508</v>
      </c>
      <c r="C37" s="303" t="s">
        <v>654</v>
      </c>
      <c r="D37" s="303">
        <v>1300</v>
      </c>
      <c r="E37" s="338">
        <f>D37*0.012</f>
        <v>15.6</v>
      </c>
    </row>
    <row r="38" spans="1:5" ht="15" x14ac:dyDescent="0.35">
      <c r="A38" s="219">
        <v>4</v>
      </c>
      <c r="B38" s="328" t="s">
        <v>11</v>
      </c>
      <c r="C38" s="329"/>
      <c r="D38" s="329"/>
      <c r="E38" s="339">
        <f>E39</f>
        <v>22</v>
      </c>
    </row>
    <row r="39" spans="1:5" ht="15.5" x14ac:dyDescent="0.35">
      <c r="A39" s="219"/>
      <c r="B39" s="331" t="s">
        <v>510</v>
      </c>
      <c r="C39" s="303" t="s">
        <v>654</v>
      </c>
      <c r="D39" s="303">
        <v>400</v>
      </c>
      <c r="E39" s="340">
        <f>D39*0.055</f>
        <v>22</v>
      </c>
    </row>
    <row r="40" spans="1:5" ht="15" x14ac:dyDescent="0.35">
      <c r="A40" s="219">
        <v>5</v>
      </c>
      <c r="B40" s="328" t="s">
        <v>61</v>
      </c>
      <c r="C40" s="329"/>
      <c r="D40" s="329"/>
      <c r="E40" s="337">
        <f>E41</f>
        <v>74.923333333333332</v>
      </c>
    </row>
    <row r="41" spans="1:5" ht="15.5" x14ac:dyDescent="0.35">
      <c r="A41" s="219"/>
      <c r="B41" s="331" t="s">
        <v>512</v>
      </c>
      <c r="C41" s="303" t="s">
        <v>654</v>
      </c>
      <c r="D41" s="303">
        <v>1729</v>
      </c>
      <c r="E41" s="338">
        <f>D41/30*1.3</f>
        <v>74.923333333333332</v>
      </c>
    </row>
    <row r="42" spans="1:5" ht="15" x14ac:dyDescent="0.35">
      <c r="A42" s="219">
        <v>6</v>
      </c>
      <c r="B42" s="328" t="s">
        <v>66</v>
      </c>
      <c r="C42" s="329"/>
      <c r="D42" s="329"/>
      <c r="E42" s="337">
        <f>SUM(E43:E43)</f>
        <v>80</v>
      </c>
    </row>
    <row r="43" spans="1:5" ht="31" x14ac:dyDescent="0.35">
      <c r="A43" s="309" t="s">
        <v>69</v>
      </c>
      <c r="B43" s="331" t="s">
        <v>513</v>
      </c>
      <c r="C43" s="303" t="s">
        <v>791</v>
      </c>
      <c r="D43" s="303">
        <v>40</v>
      </c>
      <c r="E43" s="341">
        <f>D43*2</f>
        <v>80</v>
      </c>
    </row>
    <row r="44" spans="1:5" ht="15" x14ac:dyDescent="0.35">
      <c r="A44" s="15" t="s">
        <v>31</v>
      </c>
      <c r="B44" s="16" t="s">
        <v>181</v>
      </c>
      <c r="C44" s="15"/>
      <c r="D44" s="15"/>
      <c r="E44" s="145">
        <f>E45+E50+E54+E56+E58+E60</f>
        <v>1372.57</v>
      </c>
    </row>
    <row r="45" spans="1:5" ht="15" x14ac:dyDescent="0.35">
      <c r="A45" s="72">
        <v>1</v>
      </c>
      <c r="B45" s="328" t="s">
        <v>13</v>
      </c>
      <c r="C45" s="329"/>
      <c r="D45" s="329"/>
      <c r="E45" s="339">
        <f>E46+E47</f>
        <v>1047</v>
      </c>
    </row>
    <row r="46" spans="1:5" ht="15.5" x14ac:dyDescent="0.35">
      <c r="A46" s="1"/>
      <c r="B46" s="304" t="s">
        <v>503</v>
      </c>
      <c r="C46" s="303" t="s">
        <v>767</v>
      </c>
      <c r="D46" s="303">
        <v>7</v>
      </c>
      <c r="E46" s="340">
        <f>12*20</f>
        <v>240</v>
      </c>
    </row>
    <row r="47" spans="1:5" ht="15.5" x14ac:dyDescent="0.35">
      <c r="A47" s="72"/>
      <c r="B47" s="331" t="s">
        <v>21</v>
      </c>
      <c r="C47" s="303"/>
      <c r="D47" s="303"/>
      <c r="E47" s="340">
        <f>E48+E49</f>
        <v>807</v>
      </c>
    </row>
    <row r="48" spans="1:5" ht="15.5" x14ac:dyDescent="0.35">
      <c r="A48" s="1"/>
      <c r="B48" s="334" t="s">
        <v>23</v>
      </c>
      <c r="C48" s="439" t="s">
        <v>767</v>
      </c>
      <c r="D48" s="28">
        <v>41</v>
      </c>
      <c r="E48" s="341">
        <f>D48*7</f>
        <v>287</v>
      </c>
    </row>
    <row r="49" spans="1:5" ht="15.5" x14ac:dyDescent="0.35">
      <c r="A49" s="1"/>
      <c r="B49" s="334" t="s">
        <v>504</v>
      </c>
      <c r="C49" s="439" t="s">
        <v>767</v>
      </c>
      <c r="D49" s="28">
        <v>52</v>
      </c>
      <c r="E49" s="341">
        <f>D49*10</f>
        <v>520</v>
      </c>
    </row>
    <row r="50" spans="1:5" ht="15.5" x14ac:dyDescent="0.35">
      <c r="A50" s="1">
        <v>2</v>
      </c>
      <c r="B50" s="328" t="s">
        <v>14</v>
      </c>
      <c r="C50" s="329"/>
      <c r="D50" s="329"/>
      <c r="E50" s="339">
        <f>SUM(E51:E53)</f>
        <v>77</v>
      </c>
    </row>
    <row r="51" spans="1:5" ht="31" x14ac:dyDescent="0.35">
      <c r="A51" s="72" t="s">
        <v>22</v>
      </c>
      <c r="B51" s="331" t="s">
        <v>505</v>
      </c>
      <c r="C51" s="303" t="s">
        <v>789</v>
      </c>
      <c r="D51" s="303">
        <v>19</v>
      </c>
      <c r="E51" s="340">
        <f>D51*2</f>
        <v>38</v>
      </c>
    </row>
    <row r="52" spans="1:5" ht="31" x14ac:dyDescent="0.35">
      <c r="A52" s="59" t="s">
        <v>22</v>
      </c>
      <c r="B52" s="331" t="s">
        <v>506</v>
      </c>
      <c r="C52" s="303" t="s">
        <v>790</v>
      </c>
      <c r="D52" s="303">
        <v>14</v>
      </c>
      <c r="E52" s="340">
        <f>D52*1.5</f>
        <v>21</v>
      </c>
    </row>
    <row r="53" spans="1:5" ht="15.5" x14ac:dyDescent="0.35">
      <c r="A53" s="59" t="s">
        <v>22</v>
      </c>
      <c r="B53" s="331" t="s">
        <v>507</v>
      </c>
      <c r="C53" s="303" t="s">
        <v>790</v>
      </c>
      <c r="D53" s="303">
        <v>6</v>
      </c>
      <c r="E53" s="340">
        <f>D53*3</f>
        <v>18</v>
      </c>
    </row>
    <row r="54" spans="1:5" ht="15.5" x14ac:dyDescent="0.35">
      <c r="A54" s="59">
        <v>3</v>
      </c>
      <c r="B54" s="328" t="s">
        <v>32</v>
      </c>
      <c r="C54" s="329"/>
      <c r="D54" s="329"/>
      <c r="E54" s="339">
        <f>E55</f>
        <v>12</v>
      </c>
    </row>
    <row r="55" spans="1:5" ht="15.5" x14ac:dyDescent="0.35">
      <c r="A55" s="59"/>
      <c r="B55" s="331" t="s">
        <v>508</v>
      </c>
      <c r="C55" s="303" t="s">
        <v>654</v>
      </c>
      <c r="D55" s="303">
        <v>1000</v>
      </c>
      <c r="E55" s="340">
        <f>D55*0.012</f>
        <v>12</v>
      </c>
    </row>
    <row r="56" spans="1:5" ht="15.5" x14ac:dyDescent="0.35">
      <c r="A56" s="59">
        <v>4</v>
      </c>
      <c r="B56" s="328" t="s">
        <v>11</v>
      </c>
      <c r="C56" s="329"/>
      <c r="D56" s="329"/>
      <c r="E56" s="339">
        <f>E57</f>
        <v>80</v>
      </c>
    </row>
    <row r="57" spans="1:5" ht="46.5" x14ac:dyDescent="0.35">
      <c r="A57" s="200"/>
      <c r="B57" s="27" t="s">
        <v>514</v>
      </c>
      <c r="C57" s="26" t="s">
        <v>654</v>
      </c>
      <c r="D57" s="26" t="s">
        <v>516</v>
      </c>
      <c r="E57" s="294">
        <v>80</v>
      </c>
    </row>
    <row r="58" spans="1:5" ht="15.5" x14ac:dyDescent="0.35">
      <c r="A58" s="59">
        <v>5</v>
      </c>
      <c r="B58" s="328" t="s">
        <v>61</v>
      </c>
      <c r="C58" s="329"/>
      <c r="D58" s="329"/>
      <c r="E58" s="337">
        <f>E59</f>
        <v>76.570000000000007</v>
      </c>
    </row>
    <row r="59" spans="1:5" ht="15.5" x14ac:dyDescent="0.35">
      <c r="A59" s="59"/>
      <c r="B59" s="331" t="s">
        <v>512</v>
      </c>
      <c r="C59" s="303" t="s">
        <v>654</v>
      </c>
      <c r="D59" s="303">
        <v>1767</v>
      </c>
      <c r="E59" s="338">
        <f>D59/30*1.3</f>
        <v>76.570000000000007</v>
      </c>
    </row>
    <row r="60" spans="1:5" ht="15.5" x14ac:dyDescent="0.35">
      <c r="A60" s="59">
        <v>6</v>
      </c>
      <c r="B60" s="328" t="s">
        <v>66</v>
      </c>
      <c r="C60" s="329"/>
      <c r="D60" s="329"/>
      <c r="E60" s="337">
        <f>SUM(E61:E61)</f>
        <v>80</v>
      </c>
    </row>
    <row r="61" spans="1:5" ht="31" x14ac:dyDescent="0.35">
      <c r="A61" s="309" t="s">
        <v>69</v>
      </c>
      <c r="B61" s="331" t="s">
        <v>513</v>
      </c>
      <c r="C61" s="303" t="s">
        <v>791</v>
      </c>
      <c r="D61" s="303">
        <v>40</v>
      </c>
      <c r="E61" s="341">
        <f>D61*2</f>
        <v>80</v>
      </c>
    </row>
    <row r="62" spans="1:5" ht="15" x14ac:dyDescent="0.35">
      <c r="A62" s="15" t="s">
        <v>35</v>
      </c>
      <c r="B62" s="16" t="s">
        <v>78</v>
      </c>
      <c r="C62" s="15"/>
      <c r="D62" s="15"/>
      <c r="E62" s="145">
        <f>E63+E68+E72+E74+E77+E79</f>
        <v>2405.9</v>
      </c>
    </row>
    <row r="63" spans="1:5" ht="15" x14ac:dyDescent="0.35">
      <c r="A63" s="72">
        <v>1</v>
      </c>
      <c r="B63" s="328" t="s">
        <v>13</v>
      </c>
      <c r="C63" s="329"/>
      <c r="D63" s="329"/>
      <c r="E63" s="339">
        <f>E64+E65</f>
        <v>1568</v>
      </c>
    </row>
    <row r="64" spans="1:5" ht="15.5" x14ac:dyDescent="0.35">
      <c r="A64" s="1"/>
      <c r="B64" s="304" t="s">
        <v>503</v>
      </c>
      <c r="C64" s="303" t="s">
        <v>767</v>
      </c>
      <c r="D64" s="303">
        <v>5</v>
      </c>
      <c r="E64" s="340">
        <f>12*20</f>
        <v>240</v>
      </c>
    </row>
    <row r="65" spans="1:5" ht="15.5" x14ac:dyDescent="0.35">
      <c r="A65" s="72"/>
      <c r="B65" s="331" t="s">
        <v>21</v>
      </c>
      <c r="C65" s="303"/>
      <c r="D65" s="303"/>
      <c r="E65" s="340">
        <f>SUM(E66:E67)</f>
        <v>1328</v>
      </c>
    </row>
    <row r="66" spans="1:5" ht="15.5" x14ac:dyDescent="0.35">
      <c r="A66" s="1"/>
      <c r="B66" s="334" t="s">
        <v>23</v>
      </c>
      <c r="C66" s="439" t="s">
        <v>767</v>
      </c>
      <c r="D66" s="28">
        <v>64</v>
      </c>
      <c r="E66" s="341">
        <f>D66*7</f>
        <v>448</v>
      </c>
    </row>
    <row r="67" spans="1:5" ht="15.5" x14ac:dyDescent="0.35">
      <c r="A67" s="1"/>
      <c r="B67" s="334" t="s">
        <v>504</v>
      </c>
      <c r="C67" s="439" t="s">
        <v>767</v>
      </c>
      <c r="D67" s="28">
        <v>88</v>
      </c>
      <c r="E67" s="341">
        <f>D67*10</f>
        <v>880</v>
      </c>
    </row>
    <row r="68" spans="1:5" ht="15.5" x14ac:dyDescent="0.35">
      <c r="A68" s="1">
        <v>2</v>
      </c>
      <c r="B68" s="328" t="s">
        <v>14</v>
      </c>
      <c r="C68" s="329"/>
      <c r="D68" s="329"/>
      <c r="E68" s="337">
        <f>SUM(E69:E71)</f>
        <v>118.5</v>
      </c>
    </row>
    <row r="69" spans="1:5" ht="31" x14ac:dyDescent="0.35">
      <c r="A69" s="72" t="s">
        <v>22</v>
      </c>
      <c r="B69" s="331" t="s">
        <v>505</v>
      </c>
      <c r="C69" s="303" t="s">
        <v>789</v>
      </c>
      <c r="D69" s="303">
        <v>45</v>
      </c>
      <c r="E69" s="340">
        <f>D69*2</f>
        <v>90</v>
      </c>
    </row>
    <row r="70" spans="1:5" ht="31" x14ac:dyDescent="0.35">
      <c r="A70" s="59" t="s">
        <v>22</v>
      </c>
      <c r="B70" s="331" t="s">
        <v>506</v>
      </c>
      <c r="C70" s="303" t="s">
        <v>790</v>
      </c>
      <c r="D70" s="303">
        <v>15</v>
      </c>
      <c r="E70" s="338">
        <f>D70*1.5</f>
        <v>22.5</v>
      </c>
    </row>
    <row r="71" spans="1:5" ht="15.5" x14ac:dyDescent="0.35">
      <c r="A71" s="59" t="s">
        <v>22</v>
      </c>
      <c r="B71" s="331" t="s">
        <v>507</v>
      </c>
      <c r="C71" s="303" t="s">
        <v>790</v>
      </c>
      <c r="D71" s="303">
        <v>2</v>
      </c>
      <c r="E71" s="340">
        <f>D71*3</f>
        <v>6</v>
      </c>
    </row>
    <row r="72" spans="1:5" ht="15.5" x14ac:dyDescent="0.35">
      <c r="A72" s="59">
        <v>3</v>
      </c>
      <c r="B72" s="328" t="s">
        <v>32</v>
      </c>
      <c r="C72" s="329"/>
      <c r="D72" s="329"/>
      <c r="E72" s="337">
        <f>E73</f>
        <v>14.4</v>
      </c>
    </row>
    <row r="73" spans="1:5" ht="15.5" x14ac:dyDescent="0.35">
      <c r="A73" s="59"/>
      <c r="B73" s="331" t="s">
        <v>508</v>
      </c>
      <c r="C73" s="303" t="s">
        <v>654</v>
      </c>
      <c r="D73" s="303">
        <v>1200</v>
      </c>
      <c r="E73" s="338">
        <f>D73*0.012</f>
        <v>14.4</v>
      </c>
    </row>
    <row r="74" spans="1:5" ht="15.5" x14ac:dyDescent="0.35">
      <c r="A74" s="59">
        <v>4</v>
      </c>
      <c r="B74" s="328" t="s">
        <v>11</v>
      </c>
      <c r="C74" s="329"/>
      <c r="D74" s="329"/>
      <c r="E74" s="339">
        <f>E75+E76</f>
        <v>522</v>
      </c>
    </row>
    <row r="75" spans="1:5" ht="31" x14ac:dyDescent="0.35">
      <c r="A75" s="309" t="s">
        <v>69</v>
      </c>
      <c r="B75" s="34" t="s">
        <v>515</v>
      </c>
      <c r="C75" s="33" t="s">
        <v>654</v>
      </c>
      <c r="D75" s="33">
        <v>1.159</v>
      </c>
      <c r="E75" s="203">
        <v>500</v>
      </c>
    </row>
    <row r="76" spans="1:5" ht="15.5" x14ac:dyDescent="0.35">
      <c r="A76" s="309" t="s">
        <v>69</v>
      </c>
      <c r="B76" s="331" t="s">
        <v>510</v>
      </c>
      <c r="C76" s="303" t="s">
        <v>654</v>
      </c>
      <c r="D76" s="303">
        <v>400</v>
      </c>
      <c r="E76" s="340">
        <f>D76*0.055</f>
        <v>22</v>
      </c>
    </row>
    <row r="77" spans="1:5" ht="15.5" x14ac:dyDescent="0.35">
      <c r="A77" s="59">
        <v>5</v>
      </c>
      <c r="B77" s="328" t="s">
        <v>61</v>
      </c>
      <c r="C77" s="329"/>
      <c r="D77" s="329"/>
      <c r="E77" s="339">
        <f>E78</f>
        <v>91</v>
      </c>
    </row>
    <row r="78" spans="1:5" ht="15.5" x14ac:dyDescent="0.35">
      <c r="A78" s="59"/>
      <c r="B78" s="331" t="s">
        <v>512</v>
      </c>
      <c r="C78" s="303" t="s">
        <v>654</v>
      </c>
      <c r="D78" s="303">
        <v>2100</v>
      </c>
      <c r="E78" s="340">
        <f>D78/30*1.3</f>
        <v>91</v>
      </c>
    </row>
    <row r="79" spans="1:5" ht="15.5" x14ac:dyDescent="0.35">
      <c r="A79" s="59">
        <v>6</v>
      </c>
      <c r="B79" s="328" t="s">
        <v>66</v>
      </c>
      <c r="C79" s="329"/>
      <c r="D79" s="329"/>
      <c r="E79" s="337">
        <f>SUM(E80:E80)</f>
        <v>92</v>
      </c>
    </row>
    <row r="80" spans="1:5" ht="31" x14ac:dyDescent="0.35">
      <c r="A80" s="309" t="s">
        <v>69</v>
      </c>
      <c r="B80" s="331" t="s">
        <v>513</v>
      </c>
      <c r="C80" s="303" t="s">
        <v>791</v>
      </c>
      <c r="D80" s="303">
        <v>46</v>
      </c>
      <c r="E80" s="341">
        <f>D80*2</f>
        <v>92</v>
      </c>
    </row>
    <row r="81" spans="1:5" ht="15" x14ac:dyDescent="0.35">
      <c r="A81" s="15" t="s">
        <v>44</v>
      </c>
      <c r="B81" s="16" t="s">
        <v>243</v>
      </c>
      <c r="C81" s="15"/>
      <c r="D81" s="15"/>
      <c r="E81" s="145">
        <f>E82+E87+E91+E93+E95+E97</f>
        <v>2032.3333333333333</v>
      </c>
    </row>
    <row r="82" spans="1:5" ht="15" x14ac:dyDescent="0.35">
      <c r="A82" s="72">
        <v>1</v>
      </c>
      <c r="B82" s="328" t="s">
        <v>13</v>
      </c>
      <c r="C82" s="329"/>
      <c r="D82" s="329"/>
      <c r="E82" s="339">
        <f>E83+E84</f>
        <v>1633</v>
      </c>
    </row>
    <row r="83" spans="1:5" ht="15.5" x14ac:dyDescent="0.35">
      <c r="A83" s="136" t="s">
        <v>69</v>
      </c>
      <c r="B83" s="304" t="s">
        <v>503</v>
      </c>
      <c r="C83" s="303" t="s">
        <v>767</v>
      </c>
      <c r="D83" s="303">
        <v>6</v>
      </c>
      <c r="E83" s="340">
        <f>12*20</f>
        <v>240</v>
      </c>
    </row>
    <row r="84" spans="1:5" ht="15.5" x14ac:dyDescent="0.35">
      <c r="A84" s="158" t="s">
        <v>69</v>
      </c>
      <c r="B84" s="331" t="s">
        <v>21</v>
      </c>
      <c r="C84" s="303"/>
      <c r="D84" s="303"/>
      <c r="E84" s="340">
        <f>E85+E86</f>
        <v>1393</v>
      </c>
    </row>
    <row r="85" spans="1:5" ht="15.5" x14ac:dyDescent="0.35">
      <c r="A85" s="1"/>
      <c r="B85" s="334" t="s">
        <v>23</v>
      </c>
      <c r="C85" s="439" t="s">
        <v>767</v>
      </c>
      <c r="D85" s="28">
        <v>89</v>
      </c>
      <c r="E85" s="341">
        <f>D85*7</f>
        <v>623</v>
      </c>
    </row>
    <row r="86" spans="1:5" ht="15.5" x14ac:dyDescent="0.35">
      <c r="A86" s="1"/>
      <c r="B86" s="334" t="s">
        <v>504</v>
      </c>
      <c r="C86" s="439" t="s">
        <v>767</v>
      </c>
      <c r="D86" s="28">
        <v>77</v>
      </c>
      <c r="E86" s="341">
        <f>D86*10</f>
        <v>770</v>
      </c>
    </row>
    <row r="87" spans="1:5" ht="15.5" x14ac:dyDescent="0.35">
      <c r="A87" s="1">
        <v>2</v>
      </c>
      <c r="B87" s="328" t="s">
        <v>14</v>
      </c>
      <c r="C87" s="329"/>
      <c r="D87" s="329"/>
      <c r="E87" s="337">
        <f>SUM(E88:E90)</f>
        <v>151.5</v>
      </c>
    </row>
    <row r="88" spans="1:5" ht="31" x14ac:dyDescent="0.35">
      <c r="A88" s="72" t="s">
        <v>22</v>
      </c>
      <c r="B88" s="331" t="s">
        <v>505</v>
      </c>
      <c r="C88" s="303" t="s">
        <v>789</v>
      </c>
      <c r="D88" s="303">
        <v>45</v>
      </c>
      <c r="E88" s="340">
        <f>D88*2</f>
        <v>90</v>
      </c>
    </row>
    <row r="89" spans="1:5" ht="31" x14ac:dyDescent="0.35">
      <c r="A89" s="59" t="s">
        <v>22</v>
      </c>
      <c r="B89" s="331" t="s">
        <v>506</v>
      </c>
      <c r="C89" s="303" t="s">
        <v>790</v>
      </c>
      <c r="D89" s="303">
        <v>27</v>
      </c>
      <c r="E89" s="338">
        <f>D89*1.5</f>
        <v>40.5</v>
      </c>
    </row>
    <row r="90" spans="1:5" ht="15.5" x14ac:dyDescent="0.35">
      <c r="A90" s="59" t="s">
        <v>22</v>
      </c>
      <c r="B90" s="331" t="s">
        <v>507</v>
      </c>
      <c r="C90" s="303" t="s">
        <v>790</v>
      </c>
      <c r="D90" s="303">
        <v>7</v>
      </c>
      <c r="E90" s="340">
        <f>D90*3</f>
        <v>21</v>
      </c>
    </row>
    <row r="91" spans="1:5" ht="15.5" x14ac:dyDescent="0.35">
      <c r="A91" s="59">
        <v>3</v>
      </c>
      <c r="B91" s="328" t="s">
        <v>32</v>
      </c>
      <c r="C91" s="329"/>
      <c r="D91" s="329"/>
      <c r="E91" s="339">
        <f>E92</f>
        <v>42</v>
      </c>
    </row>
    <row r="92" spans="1:5" ht="15.5" x14ac:dyDescent="0.35">
      <c r="A92" s="59"/>
      <c r="B92" s="331" t="s">
        <v>508</v>
      </c>
      <c r="C92" s="303" t="s">
        <v>654</v>
      </c>
      <c r="D92" s="303">
        <v>3500</v>
      </c>
      <c r="E92" s="340">
        <f>D92*0.012</f>
        <v>42</v>
      </c>
    </row>
    <row r="93" spans="1:5" ht="15.5" x14ac:dyDescent="0.35">
      <c r="A93" s="59">
        <v>4</v>
      </c>
      <c r="B93" s="328" t="s">
        <v>11</v>
      </c>
      <c r="C93" s="329"/>
      <c r="D93" s="329"/>
      <c r="E93" s="337">
        <f>E94</f>
        <v>5.5</v>
      </c>
    </row>
    <row r="94" spans="1:5" ht="15.5" x14ac:dyDescent="0.35">
      <c r="A94" s="59"/>
      <c r="B94" s="331" t="s">
        <v>510</v>
      </c>
      <c r="C94" s="303" t="s">
        <v>654</v>
      </c>
      <c r="D94" s="303">
        <v>100</v>
      </c>
      <c r="E94" s="338">
        <f>D94*0.055</f>
        <v>5.5</v>
      </c>
    </row>
    <row r="95" spans="1:5" ht="15.5" x14ac:dyDescent="0.35">
      <c r="A95" s="59">
        <v>5</v>
      </c>
      <c r="B95" s="328" t="s">
        <v>61</v>
      </c>
      <c r="C95" s="329"/>
      <c r="D95" s="329"/>
      <c r="E95" s="337">
        <f>E96</f>
        <v>108.33333333333333</v>
      </c>
    </row>
    <row r="96" spans="1:5" ht="15.5" x14ac:dyDescent="0.35">
      <c r="A96" s="59"/>
      <c r="B96" s="331" t="s">
        <v>512</v>
      </c>
      <c r="C96" s="303" t="s">
        <v>654</v>
      </c>
      <c r="D96" s="303">
        <v>2500</v>
      </c>
      <c r="E96" s="338">
        <f>D96/30*1.3</f>
        <v>108.33333333333333</v>
      </c>
    </row>
    <row r="97" spans="1:5" ht="15.5" x14ac:dyDescent="0.35">
      <c r="A97" s="59">
        <v>6</v>
      </c>
      <c r="B97" s="328" t="s">
        <v>66</v>
      </c>
      <c r="C97" s="329"/>
      <c r="D97" s="329"/>
      <c r="E97" s="337">
        <f>SUM(E98:E98)</f>
        <v>92</v>
      </c>
    </row>
    <row r="98" spans="1:5" ht="31" x14ac:dyDescent="0.35">
      <c r="A98" s="309" t="s">
        <v>69</v>
      </c>
      <c r="B98" s="331" t="s">
        <v>513</v>
      </c>
      <c r="C98" s="303" t="s">
        <v>791</v>
      </c>
      <c r="D98" s="303">
        <v>46</v>
      </c>
      <c r="E98" s="341">
        <f>D98*2</f>
        <v>92</v>
      </c>
    </row>
    <row r="99" spans="1:5" ht="15" x14ac:dyDescent="0.35">
      <c r="A99" s="15" t="s">
        <v>60</v>
      </c>
      <c r="B99" s="16" t="s">
        <v>246</v>
      </c>
      <c r="C99" s="15"/>
      <c r="D99" s="15"/>
      <c r="E99" s="145">
        <f>E100+E105+E109+E111+E113+E115</f>
        <v>1176.4333333333332</v>
      </c>
    </row>
    <row r="100" spans="1:5" ht="15" x14ac:dyDescent="0.35">
      <c r="A100" s="72">
        <v>1</v>
      </c>
      <c r="B100" s="328" t="s">
        <v>13</v>
      </c>
      <c r="C100" s="329"/>
      <c r="D100" s="329"/>
      <c r="E100" s="339">
        <f>E101+E102</f>
        <v>905</v>
      </c>
    </row>
    <row r="101" spans="1:5" ht="15.5" x14ac:dyDescent="0.35">
      <c r="A101" s="1"/>
      <c r="B101" s="304" t="s">
        <v>503</v>
      </c>
      <c r="C101" s="303" t="s">
        <v>767</v>
      </c>
      <c r="D101" s="303">
        <v>4</v>
      </c>
      <c r="E101" s="340">
        <f>12*20</f>
        <v>240</v>
      </c>
    </row>
    <row r="102" spans="1:5" ht="15.5" x14ac:dyDescent="0.35">
      <c r="A102" s="72"/>
      <c r="B102" s="331" t="s">
        <v>21</v>
      </c>
      <c r="C102" s="303"/>
      <c r="D102" s="303"/>
      <c r="E102" s="340">
        <f>E103+E104</f>
        <v>665</v>
      </c>
    </row>
    <row r="103" spans="1:5" ht="15.5" x14ac:dyDescent="0.35">
      <c r="A103" s="1"/>
      <c r="B103" s="334" t="s">
        <v>23</v>
      </c>
      <c r="C103" s="439" t="s">
        <v>767</v>
      </c>
      <c r="D103" s="28">
        <v>35</v>
      </c>
      <c r="E103" s="341">
        <f>D103*7</f>
        <v>245</v>
      </c>
    </row>
    <row r="104" spans="1:5" ht="15.5" x14ac:dyDescent="0.35">
      <c r="A104" s="1"/>
      <c r="B104" s="334" t="s">
        <v>504</v>
      </c>
      <c r="C104" s="439" t="s">
        <v>767</v>
      </c>
      <c r="D104" s="28">
        <v>42</v>
      </c>
      <c r="E104" s="341">
        <f>D104*10</f>
        <v>420</v>
      </c>
    </row>
    <row r="105" spans="1:5" ht="15.5" x14ac:dyDescent="0.35">
      <c r="A105" s="1">
        <v>2</v>
      </c>
      <c r="B105" s="328" t="s">
        <v>14</v>
      </c>
      <c r="C105" s="329"/>
      <c r="D105" s="329"/>
      <c r="E105" s="337">
        <f>SUM(E106:E108)</f>
        <v>118.5</v>
      </c>
    </row>
    <row r="106" spans="1:5" ht="31" x14ac:dyDescent="0.35">
      <c r="A106" s="72" t="s">
        <v>22</v>
      </c>
      <c r="B106" s="331" t="s">
        <v>505</v>
      </c>
      <c r="C106" s="303" t="s">
        <v>789</v>
      </c>
      <c r="D106" s="303">
        <v>45</v>
      </c>
      <c r="E106" s="340">
        <f>D106*2</f>
        <v>90</v>
      </c>
    </row>
    <row r="107" spans="1:5" ht="31" x14ac:dyDescent="0.35">
      <c r="A107" s="59" t="s">
        <v>22</v>
      </c>
      <c r="B107" s="331" t="s">
        <v>506</v>
      </c>
      <c r="C107" s="303" t="s">
        <v>790</v>
      </c>
      <c r="D107" s="303">
        <v>15</v>
      </c>
      <c r="E107" s="338">
        <f>D107*1.5</f>
        <v>22.5</v>
      </c>
    </row>
    <row r="108" spans="1:5" ht="15.5" x14ac:dyDescent="0.35">
      <c r="A108" s="59" t="s">
        <v>22</v>
      </c>
      <c r="B108" s="331" t="s">
        <v>507</v>
      </c>
      <c r="C108" s="303" t="s">
        <v>790</v>
      </c>
      <c r="D108" s="303">
        <v>2</v>
      </c>
      <c r="E108" s="340">
        <f>D108*3</f>
        <v>6</v>
      </c>
    </row>
    <row r="109" spans="1:5" ht="15.5" x14ac:dyDescent="0.35">
      <c r="A109" s="59">
        <v>3</v>
      </c>
      <c r="B109" s="328" t="s">
        <v>32</v>
      </c>
      <c r="C109" s="329"/>
      <c r="D109" s="329"/>
      <c r="E109" s="337">
        <f>E110</f>
        <v>3.6</v>
      </c>
    </row>
    <row r="110" spans="1:5" ht="15.5" x14ac:dyDescent="0.35">
      <c r="A110" s="59"/>
      <c r="B110" s="331" t="s">
        <v>508</v>
      </c>
      <c r="C110" s="303" t="s">
        <v>654</v>
      </c>
      <c r="D110" s="303">
        <v>300</v>
      </c>
      <c r="E110" s="338">
        <f>D110*0.012</f>
        <v>3.6</v>
      </c>
    </row>
    <row r="111" spans="1:5" ht="15.5" x14ac:dyDescent="0.35">
      <c r="A111" s="59">
        <v>4</v>
      </c>
      <c r="B111" s="328" t="s">
        <v>11</v>
      </c>
      <c r="C111" s="329"/>
      <c r="D111" s="329"/>
      <c r="E111" s="339">
        <f>E112</f>
        <v>22</v>
      </c>
    </row>
    <row r="112" spans="1:5" ht="15.5" x14ac:dyDescent="0.35">
      <c r="A112" s="59"/>
      <c r="B112" s="331" t="s">
        <v>510</v>
      </c>
      <c r="C112" s="303" t="s">
        <v>654</v>
      </c>
      <c r="D112" s="303">
        <v>400</v>
      </c>
      <c r="E112" s="340">
        <f>D112*0.055</f>
        <v>22</v>
      </c>
    </row>
    <row r="113" spans="1:5" ht="15.5" x14ac:dyDescent="0.35">
      <c r="A113" s="59">
        <v>5</v>
      </c>
      <c r="B113" s="328" t="s">
        <v>61</v>
      </c>
      <c r="C113" s="329"/>
      <c r="D113" s="329"/>
      <c r="E113" s="337">
        <f>E114</f>
        <v>43.333333333333336</v>
      </c>
    </row>
    <row r="114" spans="1:5" ht="15.5" x14ac:dyDescent="0.35">
      <c r="A114" s="59"/>
      <c r="B114" s="331" t="s">
        <v>512</v>
      </c>
      <c r="C114" s="303" t="s">
        <v>654</v>
      </c>
      <c r="D114" s="303">
        <v>1000</v>
      </c>
      <c r="E114" s="338">
        <f>D114/30*1.3</f>
        <v>43.333333333333336</v>
      </c>
    </row>
    <row r="115" spans="1:5" ht="15.5" x14ac:dyDescent="0.35">
      <c r="A115" s="59">
        <v>6</v>
      </c>
      <c r="B115" s="328" t="s">
        <v>66</v>
      </c>
      <c r="C115" s="329"/>
      <c r="D115" s="329"/>
      <c r="E115" s="337">
        <f>SUM(E116:E116)</f>
        <v>84</v>
      </c>
    </row>
    <row r="116" spans="1:5" ht="31" x14ac:dyDescent="0.35">
      <c r="A116" s="309" t="s">
        <v>69</v>
      </c>
      <c r="B116" s="331" t="s">
        <v>513</v>
      </c>
      <c r="C116" s="303" t="s">
        <v>791</v>
      </c>
      <c r="D116" s="303">
        <v>42</v>
      </c>
      <c r="E116" s="341">
        <f>D116*2</f>
        <v>84</v>
      </c>
    </row>
    <row r="117" spans="1:5" ht="15" x14ac:dyDescent="0.35">
      <c r="A117" s="15" t="s">
        <v>64</v>
      </c>
      <c r="B117" s="16" t="s">
        <v>251</v>
      </c>
      <c r="C117" s="15"/>
      <c r="D117" s="15"/>
      <c r="E117" s="145">
        <f>E118+E123+E127+E129+E131+E133</f>
        <v>1611.2</v>
      </c>
    </row>
    <row r="118" spans="1:5" ht="15" x14ac:dyDescent="0.35">
      <c r="A118" s="72">
        <v>1</v>
      </c>
      <c r="B118" s="328" t="s">
        <v>13</v>
      </c>
      <c r="C118" s="329"/>
      <c r="D118" s="329"/>
      <c r="E118" s="339">
        <f>E119+E120</f>
        <v>1260</v>
      </c>
    </row>
    <row r="119" spans="1:5" ht="15.5" x14ac:dyDescent="0.35">
      <c r="A119" s="1"/>
      <c r="B119" s="304" t="s">
        <v>503</v>
      </c>
      <c r="C119" s="303" t="s">
        <v>767</v>
      </c>
      <c r="D119" s="303">
        <v>10</v>
      </c>
      <c r="E119" s="340">
        <f>12*20</f>
        <v>240</v>
      </c>
    </row>
    <row r="120" spans="1:5" ht="15.5" x14ac:dyDescent="0.35">
      <c r="A120" s="72"/>
      <c r="B120" s="331" t="s">
        <v>21</v>
      </c>
      <c r="C120" s="303"/>
      <c r="D120" s="303"/>
      <c r="E120" s="340">
        <f>E121+E122</f>
        <v>1020</v>
      </c>
    </row>
    <row r="121" spans="1:5" ht="15.5" x14ac:dyDescent="0.35">
      <c r="A121" s="1"/>
      <c r="B121" s="334" t="s">
        <v>23</v>
      </c>
      <c r="C121" s="439" t="s">
        <v>767</v>
      </c>
      <c r="D121" s="28">
        <v>64</v>
      </c>
      <c r="E121" s="341">
        <f>D121*5</f>
        <v>320</v>
      </c>
    </row>
    <row r="122" spans="1:5" ht="15.5" x14ac:dyDescent="0.35">
      <c r="A122" s="1"/>
      <c r="B122" s="334" t="s">
        <v>504</v>
      </c>
      <c r="C122" s="439" t="s">
        <v>767</v>
      </c>
      <c r="D122" s="28">
        <v>70</v>
      </c>
      <c r="E122" s="341">
        <f>D122*10</f>
        <v>700</v>
      </c>
    </row>
    <row r="123" spans="1:5" ht="15.5" x14ac:dyDescent="0.35">
      <c r="A123" s="1">
        <v>2</v>
      </c>
      <c r="B123" s="328" t="s">
        <v>14</v>
      </c>
      <c r="C123" s="329"/>
      <c r="D123" s="329"/>
      <c r="E123" s="337">
        <f>SUM(E124:E126)</f>
        <v>146.5</v>
      </c>
    </row>
    <row r="124" spans="1:5" ht="31" x14ac:dyDescent="0.35">
      <c r="A124" s="72" t="s">
        <v>22</v>
      </c>
      <c r="B124" s="331" t="s">
        <v>505</v>
      </c>
      <c r="C124" s="303" t="s">
        <v>789</v>
      </c>
      <c r="D124" s="303">
        <v>50</v>
      </c>
      <c r="E124" s="340">
        <f>D124*2</f>
        <v>100</v>
      </c>
    </row>
    <row r="125" spans="1:5" ht="31" x14ac:dyDescent="0.35">
      <c r="A125" s="59" t="s">
        <v>22</v>
      </c>
      <c r="B125" s="331" t="s">
        <v>506</v>
      </c>
      <c r="C125" s="303" t="s">
        <v>790</v>
      </c>
      <c r="D125" s="303">
        <v>15</v>
      </c>
      <c r="E125" s="338">
        <f>D125*1.5</f>
        <v>22.5</v>
      </c>
    </row>
    <row r="126" spans="1:5" ht="15.5" x14ac:dyDescent="0.35">
      <c r="A126" s="59" t="s">
        <v>22</v>
      </c>
      <c r="B126" s="331" t="s">
        <v>507</v>
      </c>
      <c r="C126" s="303" t="s">
        <v>790</v>
      </c>
      <c r="D126" s="303">
        <v>8</v>
      </c>
      <c r="E126" s="340">
        <f>D126*3</f>
        <v>24</v>
      </c>
    </row>
    <row r="127" spans="1:5" ht="15.5" x14ac:dyDescent="0.35">
      <c r="A127" s="59">
        <v>3</v>
      </c>
      <c r="B127" s="328" t="s">
        <v>32</v>
      </c>
      <c r="C127" s="329"/>
      <c r="D127" s="329"/>
      <c r="E127" s="337">
        <f>E128</f>
        <v>25.2</v>
      </c>
    </row>
    <row r="128" spans="1:5" ht="15.5" x14ac:dyDescent="0.35">
      <c r="A128" s="59"/>
      <c r="B128" s="331" t="s">
        <v>508</v>
      </c>
      <c r="C128" s="303"/>
      <c r="D128" s="303">
        <v>2100</v>
      </c>
      <c r="E128" s="338">
        <f>D128*0.012</f>
        <v>25.2</v>
      </c>
    </row>
    <row r="129" spans="1:5" ht="15.5" x14ac:dyDescent="0.35">
      <c r="A129" s="59">
        <v>4</v>
      </c>
      <c r="B129" s="328" t="s">
        <v>11</v>
      </c>
      <c r="C129" s="329"/>
      <c r="D129" s="329"/>
      <c r="E129" s="337">
        <f>E130</f>
        <v>38.5</v>
      </c>
    </row>
    <row r="130" spans="1:5" ht="15.5" x14ac:dyDescent="0.35">
      <c r="A130" s="59"/>
      <c r="B130" s="331" t="s">
        <v>510</v>
      </c>
      <c r="C130" s="303" t="s">
        <v>654</v>
      </c>
      <c r="D130" s="303">
        <v>700</v>
      </c>
      <c r="E130" s="338">
        <f>D130*0.055</f>
        <v>38.5</v>
      </c>
    </row>
    <row r="131" spans="1:5" ht="15.5" x14ac:dyDescent="0.35">
      <c r="A131" s="59">
        <v>5</v>
      </c>
      <c r="B131" s="328" t="s">
        <v>61</v>
      </c>
      <c r="C131" s="329"/>
      <c r="D131" s="329"/>
      <c r="E131" s="339">
        <f>E132</f>
        <v>65</v>
      </c>
    </row>
    <row r="132" spans="1:5" ht="15.5" x14ac:dyDescent="0.35">
      <c r="A132" s="59"/>
      <c r="B132" s="331" t="s">
        <v>512</v>
      </c>
      <c r="C132" s="303" t="s">
        <v>654</v>
      </c>
      <c r="D132" s="303">
        <v>1500</v>
      </c>
      <c r="E132" s="340">
        <f>D132/30*1.3</f>
        <v>65</v>
      </c>
    </row>
    <row r="133" spans="1:5" ht="15.5" x14ac:dyDescent="0.35">
      <c r="A133" s="59">
        <v>6</v>
      </c>
      <c r="B133" s="328" t="s">
        <v>66</v>
      </c>
      <c r="C133" s="329"/>
      <c r="D133" s="329"/>
      <c r="E133" s="337">
        <f>SUM(E134:E134)</f>
        <v>76</v>
      </c>
    </row>
    <row r="134" spans="1:5" ht="31" x14ac:dyDescent="0.35">
      <c r="A134" s="309" t="s">
        <v>69</v>
      </c>
      <c r="B134" s="331" t="s">
        <v>513</v>
      </c>
      <c r="C134" s="303" t="s">
        <v>791</v>
      </c>
      <c r="D134" s="303">
        <v>38</v>
      </c>
      <c r="E134" s="341">
        <f>D134*2</f>
        <v>76</v>
      </c>
    </row>
    <row r="135" spans="1:5" ht="15" x14ac:dyDescent="0.35">
      <c r="A135" s="15" t="s">
        <v>65</v>
      </c>
      <c r="B135" s="16" t="s">
        <v>342</v>
      </c>
      <c r="C135" s="15"/>
      <c r="D135" s="15"/>
      <c r="E135" s="145">
        <f>E136+E141+E145+E147+E149</f>
        <v>876.49599999999998</v>
      </c>
    </row>
    <row r="136" spans="1:5" ht="15" x14ac:dyDescent="0.35">
      <c r="A136" s="72">
        <v>1</v>
      </c>
      <c r="B136" s="328" t="s">
        <v>13</v>
      </c>
      <c r="C136" s="329"/>
      <c r="D136" s="329"/>
      <c r="E136" s="339">
        <f>E137+E138</f>
        <v>710</v>
      </c>
    </row>
    <row r="137" spans="1:5" ht="15.5" x14ac:dyDescent="0.35">
      <c r="A137" s="136" t="s">
        <v>69</v>
      </c>
      <c r="B137" s="304" t="s">
        <v>503</v>
      </c>
      <c r="C137" s="303" t="s">
        <v>767</v>
      </c>
      <c r="D137" s="303">
        <v>5</v>
      </c>
      <c r="E137" s="340">
        <f>12*20</f>
        <v>240</v>
      </c>
    </row>
    <row r="138" spans="1:5" ht="15.5" x14ac:dyDescent="0.35">
      <c r="A138" s="158" t="s">
        <v>69</v>
      </c>
      <c r="B138" s="331" t="s">
        <v>21</v>
      </c>
      <c r="C138" s="303"/>
      <c r="D138" s="303"/>
      <c r="E138" s="340">
        <f>E139+E140</f>
        <v>470</v>
      </c>
    </row>
    <row r="139" spans="1:5" ht="15.5" x14ac:dyDescent="0.35">
      <c r="A139" s="1"/>
      <c r="B139" s="334" t="s">
        <v>23</v>
      </c>
      <c r="C139" s="439" t="s">
        <v>767</v>
      </c>
      <c r="D139" s="28">
        <v>20</v>
      </c>
      <c r="E139" s="341">
        <f>D139*7</f>
        <v>140</v>
      </c>
    </row>
    <row r="140" spans="1:5" ht="15.5" x14ac:dyDescent="0.35">
      <c r="A140" s="1"/>
      <c r="B140" s="334" t="s">
        <v>504</v>
      </c>
      <c r="C140" s="439" t="s">
        <v>767</v>
      </c>
      <c r="D140" s="28">
        <v>33</v>
      </c>
      <c r="E140" s="341">
        <f>D140*10</f>
        <v>330</v>
      </c>
    </row>
    <row r="141" spans="1:5" ht="15.5" x14ac:dyDescent="0.35">
      <c r="A141" s="1">
        <v>2</v>
      </c>
      <c r="B141" s="328" t="s">
        <v>14</v>
      </c>
      <c r="C141" s="329"/>
      <c r="D141" s="329"/>
      <c r="E141" s="337">
        <f>SUM(E142:E144)</f>
        <v>102.5</v>
      </c>
    </row>
    <row r="142" spans="1:5" ht="31" x14ac:dyDescent="0.35">
      <c r="A142" s="72" t="s">
        <v>22</v>
      </c>
      <c r="B142" s="331" t="s">
        <v>505</v>
      </c>
      <c r="C142" s="303" t="s">
        <v>789</v>
      </c>
      <c r="D142" s="303">
        <v>40</v>
      </c>
      <c r="E142" s="340">
        <f>D142*2</f>
        <v>80</v>
      </c>
    </row>
    <row r="143" spans="1:5" ht="31" x14ac:dyDescent="0.35">
      <c r="A143" s="59" t="s">
        <v>22</v>
      </c>
      <c r="B143" s="331" t="s">
        <v>506</v>
      </c>
      <c r="C143" s="303" t="s">
        <v>790</v>
      </c>
      <c r="D143" s="303">
        <v>13</v>
      </c>
      <c r="E143" s="338">
        <f>D143*1.5</f>
        <v>19.5</v>
      </c>
    </row>
    <row r="144" spans="1:5" ht="15.5" x14ac:dyDescent="0.35">
      <c r="A144" s="59" t="s">
        <v>22</v>
      </c>
      <c r="B144" s="331" t="s">
        <v>507</v>
      </c>
      <c r="C144" s="303" t="s">
        <v>790</v>
      </c>
      <c r="D144" s="303">
        <v>1</v>
      </c>
      <c r="E144" s="340">
        <f>D144*3</f>
        <v>3</v>
      </c>
    </row>
    <row r="145" spans="1:5" ht="15.5" x14ac:dyDescent="0.35">
      <c r="A145" s="59">
        <v>3</v>
      </c>
      <c r="B145" s="328" t="s">
        <v>32</v>
      </c>
      <c r="C145" s="329"/>
      <c r="D145" s="329"/>
      <c r="E145" s="339">
        <f>E146</f>
        <v>5.016</v>
      </c>
    </row>
    <row r="146" spans="1:5" ht="15.5" x14ac:dyDescent="0.35">
      <c r="A146" s="59"/>
      <c r="B146" s="331" t="s">
        <v>508</v>
      </c>
      <c r="C146" s="303" t="s">
        <v>654</v>
      </c>
      <c r="D146" s="303">
        <v>418</v>
      </c>
      <c r="E146" s="340">
        <f>D146*0.012</f>
        <v>5.016</v>
      </c>
    </row>
    <row r="147" spans="1:5" ht="15.5" x14ac:dyDescent="0.35">
      <c r="A147" s="59">
        <v>4</v>
      </c>
      <c r="B147" s="328" t="s">
        <v>61</v>
      </c>
      <c r="C147" s="329"/>
      <c r="D147" s="329"/>
      <c r="E147" s="339">
        <f>E148</f>
        <v>18.98</v>
      </c>
    </row>
    <row r="148" spans="1:5" ht="15.5" x14ac:dyDescent="0.35">
      <c r="A148" s="59"/>
      <c r="B148" s="331" t="s">
        <v>512</v>
      </c>
      <c r="C148" s="303" t="s">
        <v>654</v>
      </c>
      <c r="D148" s="303">
        <v>438</v>
      </c>
      <c r="E148" s="340">
        <f>D148/30*1.3</f>
        <v>18.98</v>
      </c>
    </row>
    <row r="149" spans="1:5" ht="15.5" x14ac:dyDescent="0.35">
      <c r="A149" s="59">
        <v>5</v>
      </c>
      <c r="B149" s="328" t="s">
        <v>66</v>
      </c>
      <c r="C149" s="329"/>
      <c r="D149" s="329"/>
      <c r="E149" s="339">
        <f>SUM(E150:E150)</f>
        <v>40</v>
      </c>
    </row>
    <row r="150" spans="1:5" ht="31" x14ac:dyDescent="0.35">
      <c r="A150" s="309" t="s">
        <v>69</v>
      </c>
      <c r="B150" s="331" t="s">
        <v>513</v>
      </c>
      <c r="C150" s="303" t="s">
        <v>791</v>
      </c>
      <c r="D150" s="303">
        <v>20</v>
      </c>
      <c r="E150" s="341">
        <f>D150*2</f>
        <v>40</v>
      </c>
    </row>
    <row r="151" spans="1:5" ht="15" x14ac:dyDescent="0.35">
      <c r="A151" s="15" t="s">
        <v>298</v>
      </c>
      <c r="B151" s="16" t="s">
        <v>261</v>
      </c>
      <c r="C151" s="15"/>
      <c r="D151" s="15"/>
      <c r="E151" s="145">
        <f>E152+E157+E161+E163+E165</f>
        <v>1057.5666666666666</v>
      </c>
    </row>
    <row r="152" spans="1:5" ht="15" x14ac:dyDescent="0.35">
      <c r="A152" s="72">
        <v>1</v>
      </c>
      <c r="B152" s="328" t="s">
        <v>13</v>
      </c>
      <c r="C152" s="329"/>
      <c r="D152" s="329"/>
      <c r="E152" s="339">
        <f>E153+E154</f>
        <v>735</v>
      </c>
    </row>
    <row r="153" spans="1:5" ht="15.5" x14ac:dyDescent="0.35">
      <c r="A153" s="136" t="s">
        <v>69</v>
      </c>
      <c r="B153" s="304" t="s">
        <v>503</v>
      </c>
      <c r="C153" s="303" t="s">
        <v>767</v>
      </c>
      <c r="D153" s="303">
        <v>8</v>
      </c>
      <c r="E153" s="340">
        <f>12*20</f>
        <v>240</v>
      </c>
    </row>
    <row r="154" spans="1:5" ht="15.5" x14ac:dyDescent="0.35">
      <c r="A154" s="158" t="s">
        <v>69</v>
      </c>
      <c r="B154" s="331" t="s">
        <v>21</v>
      </c>
      <c r="C154" s="303"/>
      <c r="D154" s="303"/>
      <c r="E154" s="340">
        <f>E155+E156</f>
        <v>495</v>
      </c>
    </row>
    <row r="155" spans="1:5" ht="15.5" x14ac:dyDescent="0.35">
      <c r="A155" s="1"/>
      <c r="B155" s="334" t="s">
        <v>23</v>
      </c>
      <c r="C155" s="439" t="s">
        <v>767</v>
      </c>
      <c r="D155" s="28">
        <v>35</v>
      </c>
      <c r="E155" s="341">
        <f>D155*7</f>
        <v>245</v>
      </c>
    </row>
    <row r="156" spans="1:5" ht="15.5" x14ac:dyDescent="0.35">
      <c r="A156" s="1"/>
      <c r="B156" s="334" t="s">
        <v>504</v>
      </c>
      <c r="C156" s="439" t="s">
        <v>767</v>
      </c>
      <c r="D156" s="28">
        <v>25</v>
      </c>
      <c r="E156" s="341">
        <f>D156*10</f>
        <v>250</v>
      </c>
    </row>
    <row r="157" spans="1:5" ht="15.5" x14ac:dyDescent="0.35">
      <c r="A157" s="1">
        <v>2</v>
      </c>
      <c r="B157" s="328" t="s">
        <v>14</v>
      </c>
      <c r="C157" s="329"/>
      <c r="D157" s="329"/>
      <c r="E157" s="337">
        <f>SUM(E158:E160)</f>
        <v>118.5</v>
      </c>
    </row>
    <row r="158" spans="1:5" ht="31" x14ac:dyDescent="0.35">
      <c r="A158" s="72" t="s">
        <v>22</v>
      </c>
      <c r="B158" s="331" t="s">
        <v>505</v>
      </c>
      <c r="C158" s="303" t="s">
        <v>789</v>
      </c>
      <c r="D158" s="303">
        <v>45</v>
      </c>
      <c r="E158" s="340">
        <f>D158*2</f>
        <v>90</v>
      </c>
    </row>
    <row r="159" spans="1:5" ht="31" x14ac:dyDescent="0.35">
      <c r="A159" s="59" t="s">
        <v>22</v>
      </c>
      <c r="B159" s="331" t="s">
        <v>506</v>
      </c>
      <c r="C159" s="303" t="s">
        <v>790</v>
      </c>
      <c r="D159" s="303">
        <v>15</v>
      </c>
      <c r="E159" s="338">
        <f>D159*1.5</f>
        <v>22.5</v>
      </c>
    </row>
    <row r="160" spans="1:5" ht="15.5" x14ac:dyDescent="0.35">
      <c r="A160" s="59" t="s">
        <v>22</v>
      </c>
      <c r="B160" s="331" t="s">
        <v>507</v>
      </c>
      <c r="C160" s="303" t="s">
        <v>790</v>
      </c>
      <c r="D160" s="303">
        <v>2</v>
      </c>
      <c r="E160" s="338">
        <f>D160*3</f>
        <v>6</v>
      </c>
    </row>
    <row r="161" spans="1:5" ht="15.5" x14ac:dyDescent="0.35">
      <c r="A161" s="59">
        <v>3</v>
      </c>
      <c r="B161" s="328" t="s">
        <v>32</v>
      </c>
      <c r="C161" s="329"/>
      <c r="D161" s="329"/>
      <c r="E161" s="337">
        <f>E162</f>
        <v>14.4</v>
      </c>
    </row>
    <row r="162" spans="1:5" ht="15.5" x14ac:dyDescent="0.35">
      <c r="A162" s="59"/>
      <c r="B162" s="331" t="s">
        <v>508</v>
      </c>
      <c r="C162" s="303" t="s">
        <v>654</v>
      </c>
      <c r="D162" s="303">
        <v>1200</v>
      </c>
      <c r="E162" s="338">
        <f>D162*0.012</f>
        <v>14.4</v>
      </c>
    </row>
    <row r="163" spans="1:5" ht="15.5" x14ac:dyDescent="0.35">
      <c r="A163" s="59">
        <v>4</v>
      </c>
      <c r="B163" s="328" t="s">
        <v>61</v>
      </c>
      <c r="C163" s="329"/>
      <c r="D163" s="329"/>
      <c r="E163" s="337">
        <f>E164</f>
        <v>99.666666666666671</v>
      </c>
    </row>
    <row r="164" spans="1:5" ht="15.5" x14ac:dyDescent="0.35">
      <c r="A164" s="59"/>
      <c r="B164" s="331" t="s">
        <v>512</v>
      </c>
      <c r="C164" s="303" t="s">
        <v>654</v>
      </c>
      <c r="D164" s="303">
        <v>2300</v>
      </c>
      <c r="E164" s="338">
        <f>D164/30*1.3</f>
        <v>99.666666666666671</v>
      </c>
    </row>
    <row r="165" spans="1:5" ht="15.5" x14ac:dyDescent="0.35">
      <c r="A165" s="59">
        <v>5</v>
      </c>
      <c r="B165" s="328" t="s">
        <v>66</v>
      </c>
      <c r="C165" s="329"/>
      <c r="D165" s="329"/>
      <c r="E165" s="337">
        <f>SUM(E166:E166)</f>
        <v>90</v>
      </c>
    </row>
    <row r="166" spans="1:5" ht="31" x14ac:dyDescent="0.35">
      <c r="A166" s="309" t="s">
        <v>69</v>
      </c>
      <c r="B166" s="331" t="s">
        <v>513</v>
      </c>
      <c r="C166" s="303" t="s">
        <v>791</v>
      </c>
      <c r="D166" s="303">
        <v>45</v>
      </c>
      <c r="E166" s="341">
        <f>D166*2</f>
        <v>90</v>
      </c>
    </row>
  </sheetData>
  <mergeCells count="7">
    <mergeCell ref="A1:E1"/>
    <mergeCell ref="A3:A4"/>
    <mergeCell ref="B3:B4"/>
    <mergeCell ref="D3:D4"/>
    <mergeCell ref="E3:E4"/>
    <mergeCell ref="C3:C4"/>
    <mergeCell ref="D2:E2"/>
  </mergeCells>
  <pageMargins left="0.7" right="0.21"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workbookViewId="0">
      <selection sqref="A1:H1"/>
    </sheetView>
  </sheetViews>
  <sheetFormatPr defaultRowHeight="14.5" x14ac:dyDescent="0.35"/>
  <cols>
    <col min="1" max="1" width="7.1796875" customWidth="1"/>
    <col min="2" max="2" width="43.1796875" customWidth="1"/>
    <col min="3" max="3" width="14.81640625" customWidth="1"/>
    <col min="4" max="4" width="14.1796875" customWidth="1"/>
    <col min="5" max="5" width="16.81640625" hidden="1" customWidth="1"/>
    <col min="6" max="6" width="15" hidden="1" customWidth="1"/>
    <col min="7" max="7" width="12.26953125" hidden="1" customWidth="1"/>
    <col min="8" max="8" width="12" hidden="1" customWidth="1"/>
    <col min="258" max="258" width="35.7265625" customWidth="1"/>
    <col min="259" max="259" width="13" customWidth="1"/>
    <col min="260" max="260" width="11.453125" customWidth="1"/>
    <col min="261" max="262" width="11.54296875" customWidth="1"/>
    <col min="263" max="263" width="12.26953125" customWidth="1"/>
    <col min="514" max="514" width="35.7265625" customWidth="1"/>
    <col min="515" max="515" width="13" customWidth="1"/>
    <col min="516" max="516" width="11.453125" customWidth="1"/>
    <col min="517" max="518" width="11.54296875" customWidth="1"/>
    <col min="519" max="519" width="12.26953125" customWidth="1"/>
    <col min="770" max="770" width="35.7265625" customWidth="1"/>
    <col min="771" max="771" width="13" customWidth="1"/>
    <col min="772" max="772" width="11.453125" customWidth="1"/>
    <col min="773" max="774" width="11.54296875" customWidth="1"/>
    <col min="775" max="775" width="12.26953125" customWidth="1"/>
    <col min="1026" max="1026" width="35.7265625" customWidth="1"/>
    <col min="1027" max="1027" width="13" customWidth="1"/>
    <col min="1028" max="1028" width="11.453125" customWidth="1"/>
    <col min="1029" max="1030" width="11.54296875" customWidth="1"/>
    <col min="1031" max="1031" width="12.26953125" customWidth="1"/>
    <col min="1282" max="1282" width="35.7265625" customWidth="1"/>
    <col min="1283" max="1283" width="13" customWidth="1"/>
    <col min="1284" max="1284" width="11.453125" customWidth="1"/>
    <col min="1285" max="1286" width="11.54296875" customWidth="1"/>
    <col min="1287" max="1287" width="12.26953125" customWidth="1"/>
    <col min="1538" max="1538" width="35.7265625" customWidth="1"/>
    <col min="1539" max="1539" width="13" customWidth="1"/>
    <col min="1540" max="1540" width="11.453125" customWidth="1"/>
    <col min="1541" max="1542" width="11.54296875" customWidth="1"/>
    <col min="1543" max="1543" width="12.26953125" customWidth="1"/>
    <col min="1794" max="1794" width="35.7265625" customWidth="1"/>
    <col min="1795" max="1795" width="13" customWidth="1"/>
    <col min="1796" max="1796" width="11.453125" customWidth="1"/>
    <col min="1797" max="1798" width="11.54296875" customWidth="1"/>
    <col min="1799" max="1799" width="12.26953125" customWidth="1"/>
    <col min="2050" max="2050" width="35.7265625" customWidth="1"/>
    <col min="2051" max="2051" width="13" customWidth="1"/>
    <col min="2052" max="2052" width="11.453125" customWidth="1"/>
    <col min="2053" max="2054" width="11.54296875" customWidth="1"/>
    <col min="2055" max="2055" width="12.26953125" customWidth="1"/>
    <col min="2306" max="2306" width="35.7265625" customWidth="1"/>
    <col min="2307" max="2307" width="13" customWidth="1"/>
    <col min="2308" max="2308" width="11.453125" customWidth="1"/>
    <col min="2309" max="2310" width="11.54296875" customWidth="1"/>
    <col min="2311" max="2311" width="12.26953125" customWidth="1"/>
    <col min="2562" max="2562" width="35.7265625" customWidth="1"/>
    <col min="2563" max="2563" width="13" customWidth="1"/>
    <col min="2564" max="2564" width="11.453125" customWidth="1"/>
    <col min="2565" max="2566" width="11.54296875" customWidth="1"/>
    <col min="2567" max="2567" width="12.26953125" customWidth="1"/>
    <col min="2818" max="2818" width="35.7265625" customWidth="1"/>
    <col min="2819" max="2819" width="13" customWidth="1"/>
    <col min="2820" max="2820" width="11.453125" customWidth="1"/>
    <col min="2821" max="2822" width="11.54296875" customWidth="1"/>
    <col min="2823" max="2823" width="12.26953125" customWidth="1"/>
    <col min="3074" max="3074" width="35.7265625" customWidth="1"/>
    <col min="3075" max="3075" width="13" customWidth="1"/>
    <col min="3076" max="3076" width="11.453125" customWidth="1"/>
    <col min="3077" max="3078" width="11.54296875" customWidth="1"/>
    <col min="3079" max="3079" width="12.26953125" customWidth="1"/>
    <col min="3330" max="3330" width="35.7265625" customWidth="1"/>
    <col min="3331" max="3331" width="13" customWidth="1"/>
    <col min="3332" max="3332" width="11.453125" customWidth="1"/>
    <col min="3333" max="3334" width="11.54296875" customWidth="1"/>
    <col min="3335" max="3335" width="12.26953125" customWidth="1"/>
    <col min="3586" max="3586" width="35.7265625" customWidth="1"/>
    <col min="3587" max="3587" width="13" customWidth="1"/>
    <col min="3588" max="3588" width="11.453125" customWidth="1"/>
    <col min="3589" max="3590" width="11.54296875" customWidth="1"/>
    <col min="3591" max="3591" width="12.26953125" customWidth="1"/>
    <col min="3842" max="3842" width="35.7265625" customWidth="1"/>
    <col min="3843" max="3843" width="13" customWidth="1"/>
    <col min="3844" max="3844" width="11.453125" customWidth="1"/>
    <col min="3845" max="3846" width="11.54296875" customWidth="1"/>
    <col min="3847" max="3847" width="12.26953125" customWidth="1"/>
    <col min="4098" max="4098" width="35.7265625" customWidth="1"/>
    <col min="4099" max="4099" width="13" customWidth="1"/>
    <col min="4100" max="4100" width="11.453125" customWidth="1"/>
    <col min="4101" max="4102" width="11.54296875" customWidth="1"/>
    <col min="4103" max="4103" width="12.26953125" customWidth="1"/>
    <col min="4354" max="4354" width="35.7265625" customWidth="1"/>
    <col min="4355" max="4355" width="13" customWidth="1"/>
    <col min="4356" max="4356" width="11.453125" customWidth="1"/>
    <col min="4357" max="4358" width="11.54296875" customWidth="1"/>
    <col min="4359" max="4359" width="12.26953125" customWidth="1"/>
    <col min="4610" max="4610" width="35.7265625" customWidth="1"/>
    <col min="4611" max="4611" width="13" customWidth="1"/>
    <col min="4612" max="4612" width="11.453125" customWidth="1"/>
    <col min="4613" max="4614" width="11.54296875" customWidth="1"/>
    <col min="4615" max="4615" width="12.26953125" customWidth="1"/>
    <col min="4866" max="4866" width="35.7265625" customWidth="1"/>
    <col min="4867" max="4867" width="13" customWidth="1"/>
    <col min="4868" max="4868" width="11.453125" customWidth="1"/>
    <col min="4869" max="4870" width="11.54296875" customWidth="1"/>
    <col min="4871" max="4871" width="12.26953125" customWidth="1"/>
    <col min="5122" max="5122" width="35.7265625" customWidth="1"/>
    <col min="5123" max="5123" width="13" customWidth="1"/>
    <col min="5124" max="5124" width="11.453125" customWidth="1"/>
    <col min="5125" max="5126" width="11.54296875" customWidth="1"/>
    <col min="5127" max="5127" width="12.26953125" customWidth="1"/>
    <col min="5378" max="5378" width="35.7265625" customWidth="1"/>
    <col min="5379" max="5379" width="13" customWidth="1"/>
    <col min="5380" max="5380" width="11.453125" customWidth="1"/>
    <col min="5381" max="5382" width="11.54296875" customWidth="1"/>
    <col min="5383" max="5383" width="12.26953125" customWidth="1"/>
    <col min="5634" max="5634" width="35.7265625" customWidth="1"/>
    <col min="5635" max="5635" width="13" customWidth="1"/>
    <col min="5636" max="5636" width="11.453125" customWidth="1"/>
    <col min="5637" max="5638" width="11.54296875" customWidth="1"/>
    <col min="5639" max="5639" width="12.26953125" customWidth="1"/>
    <col min="5890" max="5890" width="35.7265625" customWidth="1"/>
    <col min="5891" max="5891" width="13" customWidth="1"/>
    <col min="5892" max="5892" width="11.453125" customWidth="1"/>
    <col min="5893" max="5894" width="11.54296875" customWidth="1"/>
    <col min="5895" max="5895" width="12.26953125" customWidth="1"/>
    <col min="6146" max="6146" width="35.7265625" customWidth="1"/>
    <col min="6147" max="6147" width="13" customWidth="1"/>
    <col min="6148" max="6148" width="11.453125" customWidth="1"/>
    <col min="6149" max="6150" width="11.54296875" customWidth="1"/>
    <col min="6151" max="6151" width="12.26953125" customWidth="1"/>
    <col min="6402" max="6402" width="35.7265625" customWidth="1"/>
    <col min="6403" max="6403" width="13" customWidth="1"/>
    <col min="6404" max="6404" width="11.453125" customWidth="1"/>
    <col min="6405" max="6406" width="11.54296875" customWidth="1"/>
    <col min="6407" max="6407" width="12.26953125" customWidth="1"/>
    <col min="6658" max="6658" width="35.7265625" customWidth="1"/>
    <col min="6659" max="6659" width="13" customWidth="1"/>
    <col min="6660" max="6660" width="11.453125" customWidth="1"/>
    <col min="6661" max="6662" width="11.54296875" customWidth="1"/>
    <col min="6663" max="6663" width="12.26953125" customWidth="1"/>
    <col min="6914" max="6914" width="35.7265625" customWidth="1"/>
    <col min="6915" max="6915" width="13" customWidth="1"/>
    <col min="6916" max="6916" width="11.453125" customWidth="1"/>
    <col min="6917" max="6918" width="11.54296875" customWidth="1"/>
    <col min="6919" max="6919" width="12.26953125" customWidth="1"/>
    <col min="7170" max="7170" width="35.7265625" customWidth="1"/>
    <col min="7171" max="7171" width="13" customWidth="1"/>
    <col min="7172" max="7172" width="11.453125" customWidth="1"/>
    <col min="7173" max="7174" width="11.54296875" customWidth="1"/>
    <col min="7175" max="7175" width="12.26953125" customWidth="1"/>
    <col min="7426" max="7426" width="35.7265625" customWidth="1"/>
    <col min="7427" max="7427" width="13" customWidth="1"/>
    <col min="7428" max="7428" width="11.453125" customWidth="1"/>
    <col min="7429" max="7430" width="11.54296875" customWidth="1"/>
    <col min="7431" max="7431" width="12.26953125" customWidth="1"/>
    <col min="7682" max="7682" width="35.7265625" customWidth="1"/>
    <col min="7683" max="7683" width="13" customWidth="1"/>
    <col min="7684" max="7684" width="11.453125" customWidth="1"/>
    <col min="7685" max="7686" width="11.54296875" customWidth="1"/>
    <col min="7687" max="7687" width="12.26953125" customWidth="1"/>
    <col min="7938" max="7938" width="35.7265625" customWidth="1"/>
    <col min="7939" max="7939" width="13" customWidth="1"/>
    <col min="7940" max="7940" width="11.453125" customWidth="1"/>
    <col min="7941" max="7942" width="11.54296875" customWidth="1"/>
    <col min="7943" max="7943" width="12.26953125" customWidth="1"/>
    <col min="8194" max="8194" width="35.7265625" customWidth="1"/>
    <col min="8195" max="8195" width="13" customWidth="1"/>
    <col min="8196" max="8196" width="11.453125" customWidth="1"/>
    <col min="8197" max="8198" width="11.54296875" customWidth="1"/>
    <col min="8199" max="8199" width="12.26953125" customWidth="1"/>
    <col min="8450" max="8450" width="35.7265625" customWidth="1"/>
    <col min="8451" max="8451" width="13" customWidth="1"/>
    <col min="8452" max="8452" width="11.453125" customWidth="1"/>
    <col min="8453" max="8454" width="11.54296875" customWidth="1"/>
    <col min="8455" max="8455" width="12.26953125" customWidth="1"/>
    <col min="8706" max="8706" width="35.7265625" customWidth="1"/>
    <col min="8707" max="8707" width="13" customWidth="1"/>
    <col min="8708" max="8708" width="11.453125" customWidth="1"/>
    <col min="8709" max="8710" width="11.54296875" customWidth="1"/>
    <col min="8711" max="8711" width="12.26953125" customWidth="1"/>
    <col min="8962" max="8962" width="35.7265625" customWidth="1"/>
    <col min="8963" max="8963" width="13" customWidth="1"/>
    <col min="8964" max="8964" width="11.453125" customWidth="1"/>
    <col min="8965" max="8966" width="11.54296875" customWidth="1"/>
    <col min="8967" max="8967" width="12.26953125" customWidth="1"/>
    <col min="9218" max="9218" width="35.7265625" customWidth="1"/>
    <col min="9219" max="9219" width="13" customWidth="1"/>
    <col min="9220" max="9220" width="11.453125" customWidth="1"/>
    <col min="9221" max="9222" width="11.54296875" customWidth="1"/>
    <col min="9223" max="9223" width="12.26953125" customWidth="1"/>
    <col min="9474" max="9474" width="35.7265625" customWidth="1"/>
    <col min="9475" max="9475" width="13" customWidth="1"/>
    <col min="9476" max="9476" width="11.453125" customWidth="1"/>
    <col min="9477" max="9478" width="11.54296875" customWidth="1"/>
    <col min="9479" max="9479" width="12.26953125" customWidth="1"/>
    <col min="9730" max="9730" width="35.7265625" customWidth="1"/>
    <col min="9731" max="9731" width="13" customWidth="1"/>
    <col min="9732" max="9732" width="11.453125" customWidth="1"/>
    <col min="9733" max="9734" width="11.54296875" customWidth="1"/>
    <col min="9735" max="9735" width="12.26953125" customWidth="1"/>
    <col min="9986" max="9986" width="35.7265625" customWidth="1"/>
    <col min="9987" max="9987" width="13" customWidth="1"/>
    <col min="9988" max="9988" width="11.453125" customWidth="1"/>
    <col min="9989" max="9990" width="11.54296875" customWidth="1"/>
    <col min="9991" max="9991" width="12.26953125" customWidth="1"/>
    <col min="10242" max="10242" width="35.7265625" customWidth="1"/>
    <col min="10243" max="10243" width="13" customWidth="1"/>
    <col min="10244" max="10244" width="11.453125" customWidth="1"/>
    <col min="10245" max="10246" width="11.54296875" customWidth="1"/>
    <col min="10247" max="10247" width="12.26953125" customWidth="1"/>
    <col min="10498" max="10498" width="35.7265625" customWidth="1"/>
    <col min="10499" max="10499" width="13" customWidth="1"/>
    <col min="10500" max="10500" width="11.453125" customWidth="1"/>
    <col min="10501" max="10502" width="11.54296875" customWidth="1"/>
    <col min="10503" max="10503" width="12.26953125" customWidth="1"/>
    <col min="10754" max="10754" width="35.7265625" customWidth="1"/>
    <col min="10755" max="10755" width="13" customWidth="1"/>
    <col min="10756" max="10756" width="11.453125" customWidth="1"/>
    <col min="10757" max="10758" width="11.54296875" customWidth="1"/>
    <col min="10759" max="10759" width="12.26953125" customWidth="1"/>
    <col min="11010" max="11010" width="35.7265625" customWidth="1"/>
    <col min="11011" max="11011" width="13" customWidth="1"/>
    <col min="11012" max="11012" width="11.453125" customWidth="1"/>
    <col min="11013" max="11014" width="11.54296875" customWidth="1"/>
    <col min="11015" max="11015" width="12.26953125" customWidth="1"/>
    <col min="11266" max="11266" width="35.7265625" customWidth="1"/>
    <col min="11267" max="11267" width="13" customWidth="1"/>
    <col min="11268" max="11268" width="11.453125" customWidth="1"/>
    <col min="11269" max="11270" width="11.54296875" customWidth="1"/>
    <col min="11271" max="11271" width="12.26953125" customWidth="1"/>
    <col min="11522" max="11522" width="35.7265625" customWidth="1"/>
    <col min="11523" max="11523" width="13" customWidth="1"/>
    <col min="11524" max="11524" width="11.453125" customWidth="1"/>
    <col min="11525" max="11526" width="11.54296875" customWidth="1"/>
    <col min="11527" max="11527" width="12.26953125" customWidth="1"/>
    <col min="11778" max="11778" width="35.7265625" customWidth="1"/>
    <col min="11779" max="11779" width="13" customWidth="1"/>
    <col min="11780" max="11780" width="11.453125" customWidth="1"/>
    <col min="11781" max="11782" width="11.54296875" customWidth="1"/>
    <col min="11783" max="11783" width="12.26953125" customWidth="1"/>
    <col min="12034" max="12034" width="35.7265625" customWidth="1"/>
    <col min="12035" max="12035" width="13" customWidth="1"/>
    <col min="12036" max="12036" width="11.453125" customWidth="1"/>
    <col min="12037" max="12038" width="11.54296875" customWidth="1"/>
    <col min="12039" max="12039" width="12.26953125" customWidth="1"/>
    <col min="12290" max="12290" width="35.7265625" customWidth="1"/>
    <col min="12291" max="12291" width="13" customWidth="1"/>
    <col min="12292" max="12292" width="11.453125" customWidth="1"/>
    <col min="12293" max="12294" width="11.54296875" customWidth="1"/>
    <col min="12295" max="12295" width="12.26953125" customWidth="1"/>
    <col min="12546" max="12546" width="35.7265625" customWidth="1"/>
    <col min="12547" max="12547" width="13" customWidth="1"/>
    <col min="12548" max="12548" width="11.453125" customWidth="1"/>
    <col min="12549" max="12550" width="11.54296875" customWidth="1"/>
    <col min="12551" max="12551" width="12.26953125" customWidth="1"/>
    <col min="12802" max="12802" width="35.7265625" customWidth="1"/>
    <col min="12803" max="12803" width="13" customWidth="1"/>
    <col min="12804" max="12804" width="11.453125" customWidth="1"/>
    <col min="12805" max="12806" width="11.54296875" customWidth="1"/>
    <col min="12807" max="12807" width="12.26953125" customWidth="1"/>
    <col min="13058" max="13058" width="35.7265625" customWidth="1"/>
    <col min="13059" max="13059" width="13" customWidth="1"/>
    <col min="13060" max="13060" width="11.453125" customWidth="1"/>
    <col min="13061" max="13062" width="11.54296875" customWidth="1"/>
    <col min="13063" max="13063" width="12.26953125" customWidth="1"/>
    <col min="13314" max="13314" width="35.7265625" customWidth="1"/>
    <col min="13315" max="13315" width="13" customWidth="1"/>
    <col min="13316" max="13316" width="11.453125" customWidth="1"/>
    <col min="13317" max="13318" width="11.54296875" customWidth="1"/>
    <col min="13319" max="13319" width="12.26953125" customWidth="1"/>
    <col min="13570" max="13570" width="35.7265625" customWidth="1"/>
    <col min="13571" max="13571" width="13" customWidth="1"/>
    <col min="13572" max="13572" width="11.453125" customWidth="1"/>
    <col min="13573" max="13574" width="11.54296875" customWidth="1"/>
    <col min="13575" max="13575" width="12.26953125" customWidth="1"/>
    <col min="13826" max="13826" width="35.7265625" customWidth="1"/>
    <col min="13827" max="13827" width="13" customWidth="1"/>
    <col min="13828" max="13828" width="11.453125" customWidth="1"/>
    <col min="13829" max="13830" width="11.54296875" customWidth="1"/>
    <col min="13831" max="13831" width="12.26953125" customWidth="1"/>
    <col min="14082" max="14082" width="35.7265625" customWidth="1"/>
    <col min="14083" max="14083" width="13" customWidth="1"/>
    <col min="14084" max="14084" width="11.453125" customWidth="1"/>
    <col min="14085" max="14086" width="11.54296875" customWidth="1"/>
    <col min="14087" max="14087" width="12.26953125" customWidth="1"/>
    <col min="14338" max="14338" width="35.7265625" customWidth="1"/>
    <col min="14339" max="14339" width="13" customWidth="1"/>
    <col min="14340" max="14340" width="11.453125" customWidth="1"/>
    <col min="14341" max="14342" width="11.54296875" customWidth="1"/>
    <col min="14343" max="14343" width="12.26953125" customWidth="1"/>
    <col min="14594" max="14594" width="35.7265625" customWidth="1"/>
    <col min="14595" max="14595" width="13" customWidth="1"/>
    <col min="14596" max="14596" width="11.453125" customWidth="1"/>
    <col min="14597" max="14598" width="11.54296875" customWidth="1"/>
    <col min="14599" max="14599" width="12.26953125" customWidth="1"/>
    <col min="14850" max="14850" width="35.7265625" customWidth="1"/>
    <col min="14851" max="14851" width="13" customWidth="1"/>
    <col min="14852" max="14852" width="11.453125" customWidth="1"/>
    <col min="14853" max="14854" width="11.54296875" customWidth="1"/>
    <col min="14855" max="14855" width="12.26953125" customWidth="1"/>
    <col min="15106" max="15106" width="35.7265625" customWidth="1"/>
    <col min="15107" max="15107" width="13" customWidth="1"/>
    <col min="15108" max="15108" width="11.453125" customWidth="1"/>
    <col min="15109" max="15110" width="11.54296875" customWidth="1"/>
    <col min="15111" max="15111" width="12.26953125" customWidth="1"/>
    <col min="15362" max="15362" width="35.7265625" customWidth="1"/>
    <col min="15363" max="15363" width="13" customWidth="1"/>
    <col min="15364" max="15364" width="11.453125" customWidth="1"/>
    <col min="15365" max="15366" width="11.54296875" customWidth="1"/>
    <col min="15367" max="15367" width="12.26953125" customWidth="1"/>
    <col min="15618" max="15618" width="35.7265625" customWidth="1"/>
    <col min="15619" max="15619" width="13" customWidth="1"/>
    <col min="15620" max="15620" width="11.453125" customWidth="1"/>
    <col min="15621" max="15622" width="11.54296875" customWidth="1"/>
    <col min="15623" max="15623" width="12.26953125" customWidth="1"/>
    <col min="15874" max="15874" width="35.7265625" customWidth="1"/>
    <col min="15875" max="15875" width="13" customWidth="1"/>
    <col min="15876" max="15876" width="11.453125" customWidth="1"/>
    <col min="15877" max="15878" width="11.54296875" customWidth="1"/>
    <col min="15879" max="15879" width="12.26953125" customWidth="1"/>
    <col min="16130" max="16130" width="35.7265625" customWidth="1"/>
    <col min="16131" max="16131" width="13" customWidth="1"/>
    <col min="16132" max="16132" width="11.453125" customWidth="1"/>
    <col min="16133" max="16134" width="11.54296875" customWidth="1"/>
    <col min="16135" max="16135" width="12.26953125" customWidth="1"/>
  </cols>
  <sheetData>
    <row r="1" spans="1:8" ht="35" customHeight="1" x14ac:dyDescent="0.35">
      <c r="A1" s="586" t="s">
        <v>571</v>
      </c>
      <c r="B1" s="586"/>
      <c r="C1" s="586"/>
      <c r="D1" s="586"/>
      <c r="E1" s="586"/>
      <c r="F1" s="586"/>
      <c r="G1" s="586"/>
      <c r="H1" s="586"/>
    </row>
    <row r="2" spans="1:8" ht="15" x14ac:dyDescent="0.35">
      <c r="A2" s="587" t="s">
        <v>0</v>
      </c>
      <c r="B2" s="588" t="s">
        <v>369</v>
      </c>
      <c r="C2" s="588" t="s">
        <v>12</v>
      </c>
      <c r="D2" s="587" t="s">
        <v>9</v>
      </c>
      <c r="E2" s="587" t="s">
        <v>370</v>
      </c>
      <c r="F2" s="587"/>
      <c r="G2" s="587"/>
      <c r="H2" s="581" t="s">
        <v>647</v>
      </c>
    </row>
    <row r="3" spans="1:8" ht="15" x14ac:dyDescent="0.35">
      <c r="A3" s="587"/>
      <c r="B3" s="589"/>
      <c r="C3" s="589"/>
      <c r="D3" s="587"/>
      <c r="E3" s="587" t="s">
        <v>2</v>
      </c>
      <c r="F3" s="587"/>
      <c r="G3" s="591" t="s">
        <v>5</v>
      </c>
      <c r="H3" s="582"/>
    </row>
    <row r="4" spans="1:8" ht="15" x14ac:dyDescent="0.35">
      <c r="A4" s="587"/>
      <c r="B4" s="590"/>
      <c r="C4" s="590"/>
      <c r="D4" s="587"/>
      <c r="E4" s="535" t="s">
        <v>3</v>
      </c>
      <c r="F4" s="535" t="s">
        <v>4</v>
      </c>
      <c r="G4" s="592"/>
      <c r="H4" s="583"/>
    </row>
    <row r="5" spans="1:8" ht="15" x14ac:dyDescent="0.35">
      <c r="A5" s="584" t="s">
        <v>371</v>
      </c>
      <c r="B5" s="585"/>
      <c r="C5" s="536"/>
      <c r="D5" s="392">
        <f>D6+D10+D27+D52+D59+D63+D66+D72</f>
        <v>91265</v>
      </c>
      <c r="E5" s="392" t="e">
        <f>E6+E10+E27+E52+E59+E63+E66+#REF!+E72</f>
        <v>#REF!</v>
      </c>
      <c r="F5" s="392" t="e">
        <f>F6+F10+F27+F52+F59+F63+F66+#REF!+F72</f>
        <v>#REF!</v>
      </c>
      <c r="G5" s="392" t="e">
        <f>G6+G10+G27+G52+G59+G63+G66+#REF!+G72</f>
        <v>#REF!</v>
      </c>
      <c r="H5" s="562"/>
    </row>
    <row r="6" spans="1:8" ht="22.15" customHeight="1" x14ac:dyDescent="0.35">
      <c r="A6" s="535">
        <v>1</v>
      </c>
      <c r="B6" s="233" t="s">
        <v>372</v>
      </c>
      <c r="C6" s="535"/>
      <c r="D6" s="393">
        <f>D7+D8+D9</f>
        <v>61</v>
      </c>
      <c r="E6" s="393">
        <f>E7+E8+E9</f>
        <v>12</v>
      </c>
      <c r="F6" s="394"/>
      <c r="G6" s="394">
        <f>G7+G8+G9</f>
        <v>49</v>
      </c>
      <c r="H6" s="562"/>
    </row>
    <row r="7" spans="1:8" ht="58.15" customHeight="1" x14ac:dyDescent="0.35">
      <c r="A7" s="535" t="s">
        <v>69</v>
      </c>
      <c r="B7" s="248" t="s">
        <v>572</v>
      </c>
      <c r="C7" s="232" t="s">
        <v>573</v>
      </c>
      <c r="D7" s="395">
        <v>7</v>
      </c>
      <c r="E7" s="396">
        <v>7</v>
      </c>
      <c r="F7" s="163" t="s">
        <v>97</v>
      </c>
      <c r="G7" s="396"/>
      <c r="H7" s="562"/>
    </row>
    <row r="8" spans="1:8" ht="69" customHeight="1" x14ac:dyDescent="0.35">
      <c r="A8" s="535" t="s">
        <v>69</v>
      </c>
      <c r="B8" s="248" t="s">
        <v>574</v>
      </c>
      <c r="C8" s="232" t="s">
        <v>375</v>
      </c>
      <c r="D8" s="395">
        <v>5</v>
      </c>
      <c r="E8" s="396">
        <v>5</v>
      </c>
      <c r="F8" s="163" t="s">
        <v>97</v>
      </c>
      <c r="G8" s="396"/>
      <c r="H8" s="562"/>
    </row>
    <row r="9" spans="1:8" ht="66" customHeight="1" x14ac:dyDescent="0.35">
      <c r="A9" s="535" t="s">
        <v>69</v>
      </c>
      <c r="B9" s="248" t="s">
        <v>575</v>
      </c>
      <c r="C9" s="232" t="s">
        <v>576</v>
      </c>
      <c r="D9" s="395">
        <v>49</v>
      </c>
      <c r="E9" s="396"/>
      <c r="F9" s="163"/>
      <c r="G9" s="396">
        <v>49</v>
      </c>
      <c r="H9" s="562"/>
    </row>
    <row r="10" spans="1:8" ht="31.9" customHeight="1" x14ac:dyDescent="0.35">
      <c r="A10" s="535">
        <v>2</v>
      </c>
      <c r="B10" s="230" t="s">
        <v>11</v>
      </c>
      <c r="C10" s="232"/>
      <c r="D10" s="397">
        <f>D11+D15+D19+D22+D25</f>
        <v>33134</v>
      </c>
      <c r="E10" s="397">
        <f>E11+E15+E19+E22+E25</f>
        <v>26284</v>
      </c>
      <c r="F10" s="397">
        <f>F11+F15+F19+F22+F25</f>
        <v>0</v>
      </c>
      <c r="G10" s="397">
        <f>G11+G15+G19+G22+G25</f>
        <v>6850</v>
      </c>
      <c r="H10" s="562"/>
    </row>
    <row r="11" spans="1:8" ht="31.9" customHeight="1" x14ac:dyDescent="0.35">
      <c r="A11" s="535" t="s">
        <v>377</v>
      </c>
      <c r="B11" s="230" t="s">
        <v>577</v>
      </c>
      <c r="C11" s="535"/>
      <c r="D11" s="397">
        <f>SUM(D12:D14)</f>
        <v>20150</v>
      </c>
      <c r="E11" s="397">
        <f>SUM(E12:E14)</f>
        <v>14000</v>
      </c>
      <c r="F11" s="535"/>
      <c r="G11" s="233">
        <f>SUM(G12:G14)</f>
        <v>6150</v>
      </c>
      <c r="H11" s="562"/>
    </row>
    <row r="12" spans="1:8" ht="31.9" customHeight="1" x14ac:dyDescent="0.35">
      <c r="A12" s="234" t="s">
        <v>69</v>
      </c>
      <c r="B12" s="235" t="s">
        <v>578</v>
      </c>
      <c r="C12" s="236" t="s">
        <v>579</v>
      </c>
      <c r="D12" s="398">
        <v>14000</v>
      </c>
      <c r="E12" s="398">
        <f>D12</f>
        <v>14000</v>
      </c>
      <c r="F12" s="165" t="s">
        <v>580</v>
      </c>
      <c r="G12" s="396"/>
      <c r="H12" s="562"/>
    </row>
    <row r="13" spans="1:8" ht="31.9" customHeight="1" x14ac:dyDescent="0.35">
      <c r="A13" s="234"/>
      <c r="B13" s="235" t="s">
        <v>581</v>
      </c>
      <c r="C13" s="236" t="s">
        <v>582</v>
      </c>
      <c r="D13" s="237">
        <v>6000</v>
      </c>
      <c r="E13" s="399"/>
      <c r="F13" s="400"/>
      <c r="G13" s="396">
        <v>6000</v>
      </c>
      <c r="H13" s="562"/>
    </row>
    <row r="14" spans="1:8" ht="91.15" customHeight="1" x14ac:dyDescent="0.35">
      <c r="A14" s="234" t="s">
        <v>69</v>
      </c>
      <c r="B14" s="235" t="s">
        <v>583</v>
      </c>
      <c r="C14" s="236" t="s">
        <v>584</v>
      </c>
      <c r="D14" s="237">
        <v>150</v>
      </c>
      <c r="E14" s="396"/>
      <c r="F14" s="163"/>
      <c r="G14" s="396">
        <f>D14</f>
        <v>150</v>
      </c>
      <c r="H14" s="562"/>
    </row>
    <row r="15" spans="1:8" ht="31.9" customHeight="1" x14ac:dyDescent="0.35">
      <c r="A15" s="535" t="s">
        <v>383</v>
      </c>
      <c r="B15" s="230" t="s">
        <v>585</v>
      </c>
      <c r="C15" s="535"/>
      <c r="D15" s="392">
        <f>SUM(D16:D18)</f>
        <v>1750</v>
      </c>
      <c r="E15" s="392">
        <f>SUM(E16:E18)</f>
        <v>1600</v>
      </c>
      <c r="F15" s="229"/>
      <c r="G15" s="229">
        <f>SUM(G16:G18)</f>
        <v>150</v>
      </c>
      <c r="H15" s="562"/>
    </row>
    <row r="16" spans="1:8" ht="53.5" customHeight="1" x14ac:dyDescent="0.35">
      <c r="A16" s="234" t="s">
        <v>69</v>
      </c>
      <c r="B16" s="235" t="s">
        <v>586</v>
      </c>
      <c r="C16" s="236" t="s">
        <v>587</v>
      </c>
      <c r="D16" s="237">
        <f>3.2*500</f>
        <v>1600</v>
      </c>
      <c r="E16" s="237">
        <f>D16</f>
        <v>1600</v>
      </c>
      <c r="F16" s="163" t="s">
        <v>387</v>
      </c>
      <c r="G16" s="399"/>
      <c r="H16" s="562"/>
    </row>
    <row r="17" spans="1:11" ht="61.15" customHeight="1" x14ac:dyDescent="0.35">
      <c r="A17" s="234" t="s">
        <v>69</v>
      </c>
      <c r="B17" s="235" t="s">
        <v>388</v>
      </c>
      <c r="C17" s="236" t="s">
        <v>310</v>
      </c>
      <c r="D17" s="237">
        <v>150</v>
      </c>
      <c r="E17" s="237"/>
      <c r="F17" s="400"/>
      <c r="G17" s="396">
        <v>150</v>
      </c>
      <c r="H17" s="562"/>
    </row>
    <row r="18" spans="1:11" ht="53.5" customHeight="1" x14ac:dyDescent="0.35">
      <c r="A18" s="234" t="s">
        <v>69</v>
      </c>
      <c r="B18" s="235" t="s">
        <v>390</v>
      </c>
      <c r="C18" s="236" t="s">
        <v>588</v>
      </c>
      <c r="D18" s="396"/>
      <c r="E18" s="396"/>
      <c r="F18" s="163"/>
      <c r="G18" s="396"/>
      <c r="H18" s="562"/>
    </row>
    <row r="19" spans="1:11" ht="37.15" customHeight="1" x14ac:dyDescent="0.35">
      <c r="A19" s="535" t="s">
        <v>391</v>
      </c>
      <c r="B19" s="230" t="s">
        <v>589</v>
      </c>
      <c r="C19" s="535"/>
      <c r="D19" s="392">
        <f>SUM(D20:D21)</f>
        <v>5146</v>
      </c>
      <c r="E19" s="229">
        <f>E20+E21</f>
        <v>4796</v>
      </c>
      <c r="F19" s="229"/>
      <c r="G19" s="392">
        <f>G20+G21</f>
        <v>350</v>
      </c>
      <c r="H19" s="562"/>
      <c r="J19">
        <f>27.5-15.51</f>
        <v>11.99</v>
      </c>
      <c r="K19">
        <f>J19+2.5+3.2</f>
        <v>17.690000000000001</v>
      </c>
    </row>
    <row r="20" spans="1:11" ht="77.5" customHeight="1" x14ac:dyDescent="0.35">
      <c r="A20" s="234" t="s">
        <v>69</v>
      </c>
      <c r="B20" s="235" t="s">
        <v>859</v>
      </c>
      <c r="C20" s="236" t="s">
        <v>860</v>
      </c>
      <c r="D20" s="401">
        <f>400*11.99</f>
        <v>4796</v>
      </c>
      <c r="E20" s="401">
        <f>D20</f>
        <v>4796</v>
      </c>
      <c r="F20" s="163" t="s">
        <v>387</v>
      </c>
      <c r="G20" s="237"/>
      <c r="H20" s="562"/>
      <c r="K20">
        <f>K19+K22</f>
        <v>30.59</v>
      </c>
    </row>
    <row r="21" spans="1:11" ht="57.65" customHeight="1" x14ac:dyDescent="0.35">
      <c r="A21" s="238" t="s">
        <v>69</v>
      </c>
      <c r="B21" s="239" t="s">
        <v>395</v>
      </c>
      <c r="C21" s="240" t="s">
        <v>590</v>
      </c>
      <c r="D21" s="402">
        <v>350</v>
      </c>
      <c r="E21" s="402"/>
      <c r="F21" s="236"/>
      <c r="G21" s="237">
        <v>350</v>
      </c>
      <c r="H21" s="562"/>
    </row>
    <row r="22" spans="1:11" ht="31.9" customHeight="1" x14ac:dyDescent="0.35">
      <c r="A22" s="241" t="s">
        <v>397</v>
      </c>
      <c r="B22" s="242" t="s">
        <v>591</v>
      </c>
      <c r="C22" s="236"/>
      <c r="D22" s="19">
        <f>D23+D24</f>
        <v>716</v>
      </c>
      <c r="E22" s="19">
        <f>E23+E24</f>
        <v>516</v>
      </c>
      <c r="F22" s="532"/>
      <c r="G22" s="19">
        <f>G23+G24</f>
        <v>200</v>
      </c>
      <c r="H22" s="562"/>
      <c r="K22">
        <f>31.79-18.89</f>
        <v>12.899999999999999</v>
      </c>
    </row>
    <row r="23" spans="1:11" ht="54.65" customHeight="1" x14ac:dyDescent="0.35">
      <c r="A23" s="238" t="s">
        <v>69</v>
      </c>
      <c r="B23" s="239" t="s">
        <v>399</v>
      </c>
      <c r="C23" s="236" t="s">
        <v>861</v>
      </c>
      <c r="D23" s="237">
        <f>12.9*40</f>
        <v>516</v>
      </c>
      <c r="E23" s="237">
        <f>D23</f>
        <v>516</v>
      </c>
      <c r="F23" s="240" t="s">
        <v>387</v>
      </c>
      <c r="G23" s="237"/>
      <c r="H23" s="562"/>
    </row>
    <row r="24" spans="1:11" ht="72.650000000000006" customHeight="1" x14ac:dyDescent="0.35">
      <c r="A24" s="238" t="s">
        <v>69</v>
      </c>
      <c r="B24" s="239" t="s">
        <v>401</v>
      </c>
      <c r="C24" s="236" t="s">
        <v>592</v>
      </c>
      <c r="D24" s="237">
        <v>200</v>
      </c>
      <c r="E24" s="237"/>
      <c r="F24" s="236"/>
      <c r="G24" s="237">
        <v>200</v>
      </c>
      <c r="H24" s="562"/>
    </row>
    <row r="25" spans="1:11" ht="31.9" customHeight="1" x14ac:dyDescent="0.35">
      <c r="A25" s="535" t="s">
        <v>403</v>
      </c>
      <c r="B25" s="230" t="s">
        <v>404</v>
      </c>
      <c r="C25" s="535"/>
      <c r="D25" s="403">
        <f>D26</f>
        <v>5372</v>
      </c>
      <c r="E25" s="403">
        <f>E26</f>
        <v>5372</v>
      </c>
      <c r="F25" s="233"/>
      <c r="G25" s="233">
        <f>G26</f>
        <v>0</v>
      </c>
      <c r="H25" s="562"/>
    </row>
    <row r="26" spans="1:11" ht="63" customHeight="1" x14ac:dyDescent="0.35">
      <c r="A26" s="234" t="s">
        <v>69</v>
      </c>
      <c r="B26" s="235" t="s">
        <v>405</v>
      </c>
      <c r="C26" s="236" t="s">
        <v>593</v>
      </c>
      <c r="D26" s="401">
        <f>17*316</f>
        <v>5372</v>
      </c>
      <c r="E26" s="401">
        <f>D26</f>
        <v>5372</v>
      </c>
      <c r="F26" s="163" t="s">
        <v>407</v>
      </c>
      <c r="G26" s="237"/>
      <c r="H26" s="562"/>
    </row>
    <row r="27" spans="1:11" ht="31.9" customHeight="1" x14ac:dyDescent="0.35">
      <c r="A27" s="535">
        <v>3</v>
      </c>
      <c r="B27" s="230" t="s">
        <v>143</v>
      </c>
      <c r="C27" s="535"/>
      <c r="D27" s="404">
        <f>D28+D41+D45</f>
        <v>22459</v>
      </c>
      <c r="E27" s="404" t="e">
        <f>E28+E41+E45</f>
        <v>#REF!</v>
      </c>
      <c r="F27" s="404">
        <f>F28+F41+F45</f>
        <v>0</v>
      </c>
      <c r="G27" s="404" t="e">
        <f>G28+G41+G45</f>
        <v>#REF!</v>
      </c>
      <c r="H27" s="562"/>
    </row>
    <row r="28" spans="1:11" ht="31.9" customHeight="1" x14ac:dyDescent="0.35">
      <c r="A28" s="535" t="s">
        <v>594</v>
      </c>
      <c r="B28" s="230" t="s">
        <v>145</v>
      </c>
      <c r="C28" s="535"/>
      <c r="D28" s="404">
        <f>SUM(D29:D40)</f>
        <v>6963</v>
      </c>
      <c r="E28" s="404">
        <f>E29+E30</f>
        <v>0</v>
      </c>
      <c r="F28" s="404">
        <f>F29+F30</f>
        <v>0</v>
      </c>
      <c r="G28" s="404">
        <f>SUM(G29:G40)</f>
        <v>6963</v>
      </c>
      <c r="H28" s="562"/>
    </row>
    <row r="29" spans="1:11" ht="46.15" customHeight="1" x14ac:dyDescent="0.35">
      <c r="A29" s="535" t="s">
        <v>69</v>
      </c>
      <c r="B29" s="237" t="s">
        <v>595</v>
      </c>
      <c r="C29" s="236"/>
      <c r="D29" s="237">
        <v>8</v>
      </c>
      <c r="E29" s="233"/>
      <c r="F29" s="535"/>
      <c r="G29" s="233">
        <v>8</v>
      </c>
      <c r="H29" s="562"/>
    </row>
    <row r="30" spans="1:11" ht="105" customHeight="1" x14ac:dyDescent="0.35">
      <c r="A30" s="234" t="s">
        <v>69</v>
      </c>
      <c r="B30" s="18" t="s">
        <v>596</v>
      </c>
      <c r="C30" s="1" t="s">
        <v>419</v>
      </c>
      <c r="D30" s="406">
        <v>3000</v>
      </c>
      <c r="E30" s="237"/>
      <c r="F30" s="236"/>
      <c r="G30" s="405">
        <f>D30</f>
        <v>3000</v>
      </c>
      <c r="H30" s="562"/>
    </row>
    <row r="31" spans="1:11" ht="90.65" customHeight="1" x14ac:dyDescent="0.35">
      <c r="A31" s="234" t="s">
        <v>69</v>
      </c>
      <c r="B31" s="18" t="s">
        <v>597</v>
      </c>
      <c r="C31" s="1" t="s">
        <v>598</v>
      </c>
      <c r="D31" s="406">
        <v>2600</v>
      </c>
      <c r="E31" s="237"/>
      <c r="F31" s="236"/>
      <c r="G31" s="405">
        <f t="shared" ref="G31:G40" si="0">D31</f>
        <v>2600</v>
      </c>
      <c r="H31" s="562"/>
    </row>
    <row r="32" spans="1:11" ht="76.900000000000006" customHeight="1" x14ac:dyDescent="0.35">
      <c r="A32" s="234" t="s">
        <v>69</v>
      </c>
      <c r="B32" s="18" t="s">
        <v>599</v>
      </c>
      <c r="C32" s="1" t="s">
        <v>600</v>
      </c>
      <c r="D32" s="406">
        <v>800</v>
      </c>
      <c r="E32" s="237"/>
      <c r="F32" s="236"/>
      <c r="G32" s="405">
        <f t="shared" si="0"/>
        <v>800</v>
      </c>
      <c r="H32" s="562"/>
    </row>
    <row r="33" spans="1:8" ht="58.15" customHeight="1" x14ac:dyDescent="0.35">
      <c r="A33" s="234" t="s">
        <v>69</v>
      </c>
      <c r="B33" s="18" t="s">
        <v>601</v>
      </c>
      <c r="C33" s="1">
        <v>2</v>
      </c>
      <c r="D33" s="406">
        <v>30</v>
      </c>
      <c r="E33" s="237"/>
      <c r="F33" s="236"/>
      <c r="G33" s="405">
        <f t="shared" si="0"/>
        <v>30</v>
      </c>
      <c r="H33" s="562"/>
    </row>
    <row r="34" spans="1:8" ht="28.9" customHeight="1" x14ac:dyDescent="0.35">
      <c r="A34" s="234" t="s">
        <v>69</v>
      </c>
      <c r="B34" s="34" t="s">
        <v>602</v>
      </c>
      <c r="C34" s="33" t="s">
        <v>603</v>
      </c>
      <c r="D34" s="311">
        <v>150</v>
      </c>
      <c r="E34" s="237"/>
      <c r="F34" s="236"/>
      <c r="G34" s="405">
        <f t="shared" si="0"/>
        <v>150</v>
      </c>
      <c r="H34" s="562"/>
    </row>
    <row r="35" spans="1:8" ht="25.9" customHeight="1" x14ac:dyDescent="0.35">
      <c r="A35" s="234" t="s">
        <v>69</v>
      </c>
      <c r="B35" s="407" t="s">
        <v>604</v>
      </c>
      <c r="C35" s="1">
        <v>1</v>
      </c>
      <c r="D35" s="406">
        <v>80</v>
      </c>
      <c r="E35" s="237"/>
      <c r="F35" s="236"/>
      <c r="G35" s="405">
        <f t="shared" si="0"/>
        <v>80</v>
      </c>
      <c r="H35" s="562"/>
    </row>
    <row r="36" spans="1:8" ht="25.15" customHeight="1" x14ac:dyDescent="0.35">
      <c r="A36" s="234" t="s">
        <v>69</v>
      </c>
      <c r="B36" s="407" t="s">
        <v>605</v>
      </c>
      <c r="C36" s="1" t="s">
        <v>606</v>
      </c>
      <c r="D36" s="406">
        <v>120</v>
      </c>
      <c r="E36" s="237"/>
      <c r="F36" s="236"/>
      <c r="G36" s="405">
        <f t="shared" si="0"/>
        <v>120</v>
      </c>
      <c r="H36" s="562"/>
    </row>
    <row r="37" spans="1:8" ht="25.9" customHeight="1" x14ac:dyDescent="0.35">
      <c r="A37" s="234" t="s">
        <v>69</v>
      </c>
      <c r="B37" s="407" t="s">
        <v>607</v>
      </c>
      <c r="C37" s="1" t="s">
        <v>608</v>
      </c>
      <c r="D37" s="406">
        <v>40</v>
      </c>
      <c r="E37" s="237"/>
      <c r="F37" s="236"/>
      <c r="G37" s="405">
        <f t="shared" si="0"/>
        <v>40</v>
      </c>
      <c r="H37" s="562"/>
    </row>
    <row r="38" spans="1:8" ht="31.9" customHeight="1" x14ac:dyDescent="0.35">
      <c r="A38" s="234" t="s">
        <v>69</v>
      </c>
      <c r="B38" s="407" t="s">
        <v>609</v>
      </c>
      <c r="C38" s="1" t="s">
        <v>421</v>
      </c>
      <c r="D38" s="406">
        <v>70</v>
      </c>
      <c r="E38" s="237"/>
      <c r="F38" s="236"/>
      <c r="G38" s="405">
        <f t="shared" si="0"/>
        <v>70</v>
      </c>
      <c r="H38" s="562"/>
    </row>
    <row r="39" spans="1:8" ht="31.9" customHeight="1" x14ac:dyDescent="0.35">
      <c r="A39" s="234" t="s">
        <v>69</v>
      </c>
      <c r="B39" s="407" t="s">
        <v>610</v>
      </c>
      <c r="C39" s="1">
        <v>2</v>
      </c>
      <c r="D39" s="406">
        <v>50</v>
      </c>
      <c r="E39" s="237"/>
      <c r="F39" s="236"/>
      <c r="G39" s="405">
        <f t="shared" si="0"/>
        <v>50</v>
      </c>
      <c r="H39" s="562"/>
    </row>
    <row r="40" spans="1:8" ht="31.9" customHeight="1" x14ac:dyDescent="0.35">
      <c r="A40" s="234" t="s">
        <v>69</v>
      </c>
      <c r="B40" s="407" t="s">
        <v>611</v>
      </c>
      <c r="C40" s="1">
        <v>1</v>
      </c>
      <c r="D40" s="406">
        <v>15</v>
      </c>
      <c r="E40" s="237"/>
      <c r="F40" s="236"/>
      <c r="G40" s="405">
        <f t="shared" si="0"/>
        <v>15</v>
      </c>
      <c r="H40" s="562"/>
    </row>
    <row r="41" spans="1:8" ht="22.9" customHeight="1" x14ac:dyDescent="0.35">
      <c r="A41" s="535" t="s">
        <v>612</v>
      </c>
      <c r="B41" s="230" t="s">
        <v>147</v>
      </c>
      <c r="C41" s="535" t="s">
        <v>412</v>
      </c>
      <c r="D41" s="404">
        <f>SUM(D42:D44)</f>
        <v>3650</v>
      </c>
      <c r="E41" s="233" t="e">
        <f>E42+#REF!+E43+E44</f>
        <v>#REF!</v>
      </c>
      <c r="F41" s="535"/>
      <c r="G41" s="404" t="e">
        <f>G42+#REF!+G43+G44</f>
        <v>#REF!</v>
      </c>
      <c r="H41" s="562"/>
    </row>
    <row r="42" spans="1:8" ht="89.5" customHeight="1" x14ac:dyDescent="0.35">
      <c r="A42" s="234" t="s">
        <v>69</v>
      </c>
      <c r="B42" s="563" t="s">
        <v>613</v>
      </c>
      <c r="C42" s="564" t="s">
        <v>419</v>
      </c>
      <c r="D42" s="406">
        <v>3000</v>
      </c>
      <c r="E42" s="237"/>
      <c r="F42" s="236"/>
      <c r="G42" s="237">
        <f>D42</f>
        <v>3000</v>
      </c>
      <c r="H42" s="562"/>
    </row>
    <row r="43" spans="1:8" ht="28.9" customHeight="1" x14ac:dyDescent="0.35">
      <c r="A43" s="234" t="s">
        <v>69</v>
      </c>
      <c r="B43" s="237" t="s">
        <v>422</v>
      </c>
      <c r="C43" s="236" t="s">
        <v>423</v>
      </c>
      <c r="D43" s="237">
        <v>250</v>
      </c>
      <c r="E43" s="237"/>
      <c r="F43" s="236"/>
      <c r="G43" s="237">
        <f t="shared" ref="G43:G51" si="1">D43</f>
        <v>250</v>
      </c>
      <c r="H43" s="562"/>
    </row>
    <row r="44" spans="1:8" ht="31.9" customHeight="1" x14ac:dyDescent="0.35">
      <c r="A44" s="234" t="s">
        <v>69</v>
      </c>
      <c r="B44" s="237" t="s">
        <v>424</v>
      </c>
      <c r="C44" s="236" t="s">
        <v>614</v>
      </c>
      <c r="D44" s="237">
        <v>400</v>
      </c>
      <c r="E44" s="237"/>
      <c r="F44" s="236"/>
      <c r="G44" s="237">
        <f t="shared" si="1"/>
        <v>400</v>
      </c>
      <c r="H44" s="562"/>
    </row>
    <row r="45" spans="1:8" ht="27" customHeight="1" x14ac:dyDescent="0.35">
      <c r="A45" s="243" t="s">
        <v>615</v>
      </c>
      <c r="B45" s="233" t="s">
        <v>616</v>
      </c>
      <c r="C45" s="535"/>
      <c r="D45" s="404">
        <f>SUM(D46:D51)</f>
        <v>11846</v>
      </c>
      <c r="E45" s="404">
        <f>SUM(E46:E51)</f>
        <v>0</v>
      </c>
      <c r="F45" s="404">
        <f>SUM(F46:F51)</f>
        <v>0</v>
      </c>
      <c r="G45" s="404">
        <f>SUM(G46:G51)</f>
        <v>11846</v>
      </c>
      <c r="H45" s="562"/>
    </row>
    <row r="46" spans="1:8" ht="25.15" customHeight="1" x14ac:dyDescent="0.35">
      <c r="A46" s="243" t="s">
        <v>69</v>
      </c>
      <c r="B46" s="6" t="s">
        <v>617</v>
      </c>
      <c r="C46" s="1" t="s">
        <v>618</v>
      </c>
      <c r="D46" s="406">
        <v>6500</v>
      </c>
      <c r="E46" s="233"/>
      <c r="F46" s="535"/>
      <c r="G46" s="237">
        <f t="shared" si="1"/>
        <v>6500</v>
      </c>
      <c r="H46" s="562"/>
    </row>
    <row r="47" spans="1:8" ht="23.5" customHeight="1" x14ac:dyDescent="0.35">
      <c r="A47" s="243" t="s">
        <v>69</v>
      </c>
      <c r="B47" s="6" t="s">
        <v>619</v>
      </c>
      <c r="C47" s="1" t="s">
        <v>620</v>
      </c>
      <c r="D47" s="406">
        <v>700</v>
      </c>
      <c r="E47" s="233"/>
      <c r="F47" s="535"/>
      <c r="G47" s="237">
        <f t="shared" si="1"/>
        <v>700</v>
      </c>
      <c r="H47" s="562"/>
    </row>
    <row r="48" spans="1:8" ht="24" customHeight="1" x14ac:dyDescent="0.35">
      <c r="A48" s="243" t="s">
        <v>69</v>
      </c>
      <c r="B48" s="18" t="s">
        <v>621</v>
      </c>
      <c r="C48" s="1" t="s">
        <v>622</v>
      </c>
      <c r="D48" s="406">
        <v>4500</v>
      </c>
      <c r="E48" s="233"/>
      <c r="F48" s="535"/>
      <c r="G48" s="237">
        <f t="shared" si="1"/>
        <v>4500</v>
      </c>
      <c r="H48" s="562"/>
    </row>
    <row r="49" spans="1:8" ht="25.9" customHeight="1" x14ac:dyDescent="0.35">
      <c r="A49" s="243" t="s">
        <v>69</v>
      </c>
      <c r="B49" s="565" t="s">
        <v>623</v>
      </c>
      <c r="C49" s="566" t="s">
        <v>624</v>
      </c>
      <c r="D49" s="18">
        <v>16</v>
      </c>
      <c r="E49" s="233"/>
      <c r="F49" s="535"/>
      <c r="G49" s="237">
        <f t="shared" si="1"/>
        <v>16</v>
      </c>
      <c r="H49" s="562"/>
    </row>
    <row r="50" spans="1:8" ht="22.15" customHeight="1" x14ac:dyDescent="0.35">
      <c r="A50" s="243" t="s">
        <v>69</v>
      </c>
      <c r="B50" s="6" t="s">
        <v>625</v>
      </c>
      <c r="C50" s="136" t="s">
        <v>626</v>
      </c>
      <c r="D50" s="18">
        <v>50</v>
      </c>
      <c r="E50" s="233"/>
      <c r="F50" s="535"/>
      <c r="G50" s="237">
        <f t="shared" si="1"/>
        <v>50</v>
      </c>
      <c r="H50" s="562"/>
    </row>
    <row r="51" spans="1:8" ht="24.65" customHeight="1" x14ac:dyDescent="0.35">
      <c r="A51" s="243" t="s">
        <v>69</v>
      </c>
      <c r="B51" s="567" t="s">
        <v>627</v>
      </c>
      <c r="C51" s="236" t="s">
        <v>624</v>
      </c>
      <c r="D51" s="18">
        <v>80</v>
      </c>
      <c r="E51" s="233"/>
      <c r="F51" s="535"/>
      <c r="G51" s="237">
        <f t="shared" si="1"/>
        <v>80</v>
      </c>
      <c r="H51" s="562"/>
    </row>
    <row r="52" spans="1:8" ht="31.9" customHeight="1" x14ac:dyDescent="0.35">
      <c r="A52" s="535">
        <v>4</v>
      </c>
      <c r="B52" s="230" t="s">
        <v>154</v>
      </c>
      <c r="C52" s="535"/>
      <c r="D52" s="404">
        <f>SUM(D53:D58)</f>
        <v>10550</v>
      </c>
      <c r="E52" s="404">
        <f>SUM(E53:E58)</f>
        <v>6500</v>
      </c>
      <c r="F52" s="408">
        <f>SUM(F53:F58)</f>
        <v>0</v>
      </c>
      <c r="G52" s="404">
        <f>SUM(G53:G58)</f>
        <v>4050</v>
      </c>
      <c r="H52" s="562"/>
    </row>
    <row r="53" spans="1:8" ht="43.15" customHeight="1" x14ac:dyDescent="0.35">
      <c r="A53" s="234" t="s">
        <v>69</v>
      </c>
      <c r="B53" s="235" t="s">
        <v>628</v>
      </c>
      <c r="C53" s="236">
        <v>1</v>
      </c>
      <c r="D53" s="405">
        <v>6500</v>
      </c>
      <c r="E53" s="405">
        <f>D53</f>
        <v>6500</v>
      </c>
      <c r="F53" s="236" t="s">
        <v>629</v>
      </c>
      <c r="G53" s="237"/>
      <c r="H53" s="562"/>
    </row>
    <row r="54" spans="1:8" ht="57.65" customHeight="1" x14ac:dyDescent="0.35">
      <c r="A54" s="234" t="s">
        <v>69</v>
      </c>
      <c r="B54" s="235" t="s">
        <v>630</v>
      </c>
      <c r="C54" s="236"/>
      <c r="D54" s="405">
        <v>500</v>
      </c>
      <c r="E54" s="237"/>
      <c r="F54" s="236"/>
      <c r="G54" s="237">
        <v>500</v>
      </c>
      <c r="H54" s="562"/>
    </row>
    <row r="55" spans="1:8" ht="131.5" customHeight="1" x14ac:dyDescent="0.35">
      <c r="A55" s="234" t="s">
        <v>69</v>
      </c>
      <c r="B55" s="235" t="s">
        <v>631</v>
      </c>
      <c r="C55" s="236"/>
      <c r="D55" s="237">
        <v>400</v>
      </c>
      <c r="E55" s="237"/>
      <c r="F55" s="236"/>
      <c r="G55" s="237">
        <v>400</v>
      </c>
      <c r="H55" s="562"/>
    </row>
    <row r="56" spans="1:8" ht="31.9" customHeight="1" x14ac:dyDescent="0.35">
      <c r="A56" s="234" t="s">
        <v>69</v>
      </c>
      <c r="B56" s="235" t="s">
        <v>632</v>
      </c>
      <c r="C56" s="236" t="s">
        <v>429</v>
      </c>
      <c r="D56" s="237">
        <v>250</v>
      </c>
      <c r="E56" s="237"/>
      <c r="F56" s="236"/>
      <c r="G56" s="237">
        <v>250</v>
      </c>
      <c r="H56" s="562"/>
    </row>
    <row r="57" spans="1:8" ht="85.9" customHeight="1" x14ac:dyDescent="0.35">
      <c r="A57" s="234" t="s">
        <v>69</v>
      </c>
      <c r="B57" s="235" t="s">
        <v>430</v>
      </c>
      <c r="C57" s="236" t="s">
        <v>151</v>
      </c>
      <c r="D57" s="237">
        <v>200</v>
      </c>
      <c r="E57" s="237"/>
      <c r="F57" s="236"/>
      <c r="G57" s="237">
        <v>200</v>
      </c>
      <c r="H57" s="562"/>
    </row>
    <row r="58" spans="1:8" ht="96" customHeight="1" x14ac:dyDescent="0.35">
      <c r="A58" s="234" t="s">
        <v>69</v>
      </c>
      <c r="B58" s="235" t="s">
        <v>633</v>
      </c>
      <c r="C58" s="236" t="s">
        <v>634</v>
      </c>
      <c r="D58" s="237">
        <v>2700</v>
      </c>
      <c r="E58" s="237"/>
      <c r="F58" s="236"/>
      <c r="G58" s="237">
        <f>D58</f>
        <v>2700</v>
      </c>
      <c r="H58" s="562"/>
    </row>
    <row r="59" spans="1:8" ht="31.9" customHeight="1" x14ac:dyDescent="0.35">
      <c r="A59" s="535">
        <v>5</v>
      </c>
      <c r="B59" s="230" t="s">
        <v>431</v>
      </c>
      <c r="C59" s="535"/>
      <c r="D59" s="233">
        <f>SUM(D60:D62)</f>
        <v>445</v>
      </c>
      <c r="E59" s="233">
        <f>SUM(E60:E62)</f>
        <v>45</v>
      </c>
      <c r="F59" s="535">
        <f>SUM(F60:F62)</f>
        <v>0</v>
      </c>
      <c r="G59" s="233">
        <f>SUM(G60:G62)</f>
        <v>400</v>
      </c>
      <c r="H59" s="562"/>
    </row>
    <row r="60" spans="1:8" ht="98.5" customHeight="1" x14ac:dyDescent="0.35">
      <c r="A60" s="234" t="s">
        <v>69</v>
      </c>
      <c r="B60" s="235" t="s">
        <v>432</v>
      </c>
      <c r="C60" s="236" t="s">
        <v>433</v>
      </c>
      <c r="D60" s="237">
        <v>20</v>
      </c>
      <c r="E60" s="237">
        <v>20</v>
      </c>
      <c r="F60" s="236" t="s">
        <v>68</v>
      </c>
      <c r="G60" s="237"/>
      <c r="H60" s="562"/>
    </row>
    <row r="61" spans="1:8" ht="61.9" customHeight="1" x14ac:dyDescent="0.35">
      <c r="A61" s="234" t="s">
        <v>69</v>
      </c>
      <c r="B61" s="235" t="s">
        <v>434</v>
      </c>
      <c r="C61" s="236" t="s">
        <v>435</v>
      </c>
      <c r="D61" s="237">
        <v>25</v>
      </c>
      <c r="E61" s="237">
        <v>25</v>
      </c>
      <c r="F61" s="236" t="s">
        <v>68</v>
      </c>
      <c r="G61" s="237"/>
      <c r="H61" s="562"/>
    </row>
    <row r="62" spans="1:8" ht="94.9" customHeight="1" x14ac:dyDescent="0.35">
      <c r="A62" s="234"/>
      <c r="B62" s="235" t="s">
        <v>635</v>
      </c>
      <c r="C62" s="236" t="s">
        <v>636</v>
      </c>
      <c r="D62" s="237">
        <v>400</v>
      </c>
      <c r="E62" s="237"/>
      <c r="F62" s="236"/>
      <c r="G62" s="237">
        <v>400</v>
      </c>
      <c r="H62" s="562"/>
    </row>
    <row r="63" spans="1:8" ht="31.9" customHeight="1" x14ac:dyDescent="0.35">
      <c r="A63" s="535">
        <v>6</v>
      </c>
      <c r="B63" s="230" t="s">
        <v>438</v>
      </c>
      <c r="C63" s="535"/>
      <c r="D63" s="409">
        <f>D64+D65</f>
        <v>8880</v>
      </c>
      <c r="E63" s="409">
        <f>E64+E65</f>
        <v>4810</v>
      </c>
      <c r="F63" s="409"/>
      <c r="G63" s="409">
        <f>G64+G65</f>
        <v>4070</v>
      </c>
      <c r="H63" s="562"/>
    </row>
    <row r="64" spans="1:8" ht="67.900000000000006" customHeight="1" x14ac:dyDescent="0.35">
      <c r="A64" s="234" t="s">
        <v>69</v>
      </c>
      <c r="B64" s="235" t="s">
        <v>637</v>
      </c>
      <c r="C64" s="236" t="s">
        <v>638</v>
      </c>
      <c r="D64" s="237">
        <v>4800</v>
      </c>
      <c r="E64" s="237">
        <v>3600</v>
      </c>
      <c r="F64" s="236" t="s">
        <v>68</v>
      </c>
      <c r="G64" s="237">
        <f>D64-E64</f>
        <v>1200</v>
      </c>
      <c r="H64" s="562"/>
    </row>
    <row r="65" spans="1:8" ht="130.15" customHeight="1" x14ac:dyDescent="0.35">
      <c r="A65" s="234" t="s">
        <v>69</v>
      </c>
      <c r="B65" s="235" t="s">
        <v>639</v>
      </c>
      <c r="C65" s="236" t="s">
        <v>640</v>
      </c>
      <c r="D65" s="237">
        <f>56*30+(264+216)*5</f>
        <v>4080</v>
      </c>
      <c r="E65" s="237">
        <v>1210</v>
      </c>
      <c r="F65" s="236" t="s">
        <v>68</v>
      </c>
      <c r="G65" s="237">
        <f>D65-E65</f>
        <v>2870</v>
      </c>
      <c r="H65" s="562"/>
    </row>
    <row r="66" spans="1:8" ht="31.9" customHeight="1" x14ac:dyDescent="0.35">
      <c r="A66" s="535">
        <v>7</v>
      </c>
      <c r="B66" s="230" t="s">
        <v>445</v>
      </c>
      <c r="C66" s="535"/>
      <c r="D66" s="403">
        <f>SUM(D67:D71)</f>
        <v>11236</v>
      </c>
      <c r="E66" s="403">
        <f>SUM(E67:E71)</f>
        <v>7140</v>
      </c>
      <c r="F66" s="403"/>
      <c r="G66" s="403">
        <f>SUM(G67:G71)</f>
        <v>4096</v>
      </c>
      <c r="H66" s="562"/>
    </row>
    <row r="67" spans="1:8" ht="75.650000000000006" customHeight="1" x14ac:dyDescent="0.35">
      <c r="A67" s="234" t="s">
        <v>69</v>
      </c>
      <c r="B67" s="235" t="s">
        <v>446</v>
      </c>
      <c r="C67" s="236" t="s">
        <v>641</v>
      </c>
      <c r="D67" s="237">
        <v>192</v>
      </c>
      <c r="E67" s="237"/>
      <c r="F67" s="236"/>
      <c r="G67" s="237">
        <f>D67</f>
        <v>192</v>
      </c>
      <c r="H67" s="562"/>
    </row>
    <row r="68" spans="1:8" ht="69.650000000000006" customHeight="1" x14ac:dyDescent="0.35">
      <c r="A68" s="234" t="s">
        <v>69</v>
      </c>
      <c r="B68" s="235" t="s">
        <v>448</v>
      </c>
      <c r="C68" s="236" t="s">
        <v>449</v>
      </c>
      <c r="D68" s="237">
        <v>30</v>
      </c>
      <c r="E68" s="237"/>
      <c r="F68" s="236"/>
      <c r="G68" s="237">
        <v>30</v>
      </c>
      <c r="H68" s="562"/>
    </row>
    <row r="69" spans="1:8" ht="99.65" customHeight="1" x14ac:dyDescent="0.35">
      <c r="A69" s="234" t="s">
        <v>69</v>
      </c>
      <c r="B69" s="235" t="s">
        <v>862</v>
      </c>
      <c r="C69" s="236"/>
      <c r="D69" s="405">
        <v>10759</v>
      </c>
      <c r="E69" s="405">
        <v>7130</v>
      </c>
      <c r="F69" s="236" t="s">
        <v>165</v>
      </c>
      <c r="G69" s="237">
        <f>D69-E69</f>
        <v>3629</v>
      </c>
      <c r="H69" s="562"/>
    </row>
    <row r="70" spans="1:8" ht="69.650000000000006" customHeight="1" x14ac:dyDescent="0.35">
      <c r="A70" s="234" t="s">
        <v>69</v>
      </c>
      <c r="B70" s="235" t="s">
        <v>452</v>
      </c>
      <c r="C70" s="236" t="s">
        <v>453</v>
      </c>
      <c r="D70" s="237">
        <v>245</v>
      </c>
      <c r="E70" s="237">
        <v>10</v>
      </c>
      <c r="F70" s="236" t="s">
        <v>97</v>
      </c>
      <c r="G70" s="237">
        <v>235</v>
      </c>
      <c r="H70" s="562"/>
    </row>
    <row r="71" spans="1:8" ht="64.150000000000006" customHeight="1" x14ac:dyDescent="0.35">
      <c r="A71" s="234" t="s">
        <v>69</v>
      </c>
      <c r="B71" s="235" t="s">
        <v>454</v>
      </c>
      <c r="C71" s="236" t="s">
        <v>455</v>
      </c>
      <c r="D71" s="237">
        <v>10</v>
      </c>
      <c r="E71" s="237"/>
      <c r="F71" s="236"/>
      <c r="G71" s="237">
        <v>10</v>
      </c>
      <c r="H71" s="562"/>
    </row>
    <row r="72" spans="1:8" ht="24.65" customHeight="1" x14ac:dyDescent="0.35">
      <c r="A72" s="410">
        <v>8</v>
      </c>
      <c r="B72" s="411" t="s">
        <v>642</v>
      </c>
      <c r="C72" s="411"/>
      <c r="D72" s="412">
        <f>D73</f>
        <v>4500</v>
      </c>
      <c r="E72" s="412"/>
      <c r="F72" s="413"/>
      <c r="G72" s="412">
        <f>G73</f>
        <v>4500</v>
      </c>
      <c r="H72" s="562"/>
    </row>
    <row r="73" spans="1:8" ht="25.9" customHeight="1" x14ac:dyDescent="0.35">
      <c r="A73" s="59"/>
      <c r="B73" s="414" t="s">
        <v>643</v>
      </c>
      <c r="C73" s="59">
        <v>1</v>
      </c>
      <c r="D73" s="415">
        <v>4500</v>
      </c>
      <c r="E73" s="415"/>
      <c r="F73" s="67"/>
      <c r="G73" s="415">
        <f>D73</f>
        <v>4500</v>
      </c>
      <c r="H73" s="562"/>
    </row>
  </sheetData>
  <mergeCells count="10">
    <mergeCell ref="A5:B5"/>
    <mergeCell ref="H2:H4"/>
    <mergeCell ref="A1:H1"/>
    <mergeCell ref="A2:A4"/>
    <mergeCell ref="B2:B4"/>
    <mergeCell ref="C2:C4"/>
    <mergeCell ref="D2:D4"/>
    <mergeCell ref="E2:G2"/>
    <mergeCell ref="E3:F3"/>
    <mergeCell ref="G3:G4"/>
  </mergeCells>
  <pageMargins left="0.7" right="0.31" top="0.55000000000000004" bottom="0.22"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04"/>
  <sheetViews>
    <sheetView topLeftCell="A59" zoomScale="110" zoomScaleNormal="110" workbookViewId="0">
      <selection activeCell="G77" sqref="G77"/>
    </sheetView>
  </sheetViews>
  <sheetFormatPr defaultRowHeight="14.5" x14ac:dyDescent="0.35"/>
  <cols>
    <col min="1" max="1" width="5.7265625" customWidth="1"/>
    <col min="2" max="2" width="42.54296875" customWidth="1"/>
    <col min="3" max="3" width="11.81640625" style="450" customWidth="1"/>
    <col min="4" max="4" width="10.81640625" style="450" customWidth="1"/>
    <col min="5" max="5" width="15.7265625" style="464" customWidth="1"/>
  </cols>
  <sheetData>
    <row r="1" spans="1:5" ht="35.25" customHeight="1" x14ac:dyDescent="0.35">
      <c r="A1" s="593" t="s">
        <v>813</v>
      </c>
      <c r="B1" s="593"/>
      <c r="C1" s="593"/>
      <c r="D1" s="593"/>
      <c r="E1" s="593"/>
    </row>
    <row r="2" spans="1:5" ht="15.75" customHeight="1" x14ac:dyDescent="0.35">
      <c r="A2" s="416"/>
      <c r="B2" s="416"/>
      <c r="C2" s="417"/>
      <c r="D2" s="594" t="s">
        <v>6</v>
      </c>
      <c r="E2" s="594"/>
    </row>
    <row r="3" spans="1:5" ht="15.75" customHeight="1" x14ac:dyDescent="0.35">
      <c r="A3" s="574" t="s">
        <v>0</v>
      </c>
      <c r="B3" s="574" t="s">
        <v>644</v>
      </c>
      <c r="C3" s="574" t="s">
        <v>645</v>
      </c>
      <c r="D3" s="574" t="s">
        <v>12</v>
      </c>
      <c r="E3" s="595" t="s">
        <v>646</v>
      </c>
    </row>
    <row r="4" spans="1:5" ht="15" customHeight="1" x14ac:dyDescent="0.35">
      <c r="A4" s="574"/>
      <c r="B4" s="574"/>
      <c r="C4" s="574"/>
      <c r="D4" s="574"/>
      <c r="E4" s="595"/>
    </row>
    <row r="5" spans="1:5" ht="22.5" customHeight="1" x14ac:dyDescent="0.35">
      <c r="A5" s="84"/>
      <c r="B5" s="10" t="s">
        <v>648</v>
      </c>
      <c r="C5" s="84"/>
      <c r="D5" s="84"/>
      <c r="E5" s="455">
        <f>E6+E41+E80+E126+E176+E215+E253+E297+E332+E363</f>
        <v>46709.983999999989</v>
      </c>
    </row>
    <row r="6" spans="1:5" ht="15.75" customHeight="1" x14ac:dyDescent="0.35">
      <c r="A6" s="15" t="s">
        <v>7</v>
      </c>
      <c r="B6" s="418" t="s">
        <v>18</v>
      </c>
      <c r="C6" s="15"/>
      <c r="D6" s="15"/>
      <c r="E6" s="456">
        <v>1124.25</v>
      </c>
    </row>
    <row r="7" spans="1:5" ht="21.75" customHeight="1" x14ac:dyDescent="0.35">
      <c r="A7" s="84">
        <v>1</v>
      </c>
      <c r="B7" s="10" t="s">
        <v>13</v>
      </c>
      <c r="C7" s="84"/>
      <c r="D7" s="84"/>
      <c r="E7" s="419">
        <f>E8+E9</f>
        <v>341</v>
      </c>
    </row>
    <row r="8" spans="1:5" ht="21.75" customHeight="1" x14ac:dyDescent="0.35">
      <c r="A8" s="136" t="s">
        <v>69</v>
      </c>
      <c r="B8" s="18" t="s">
        <v>193</v>
      </c>
      <c r="C8" s="1" t="s">
        <v>649</v>
      </c>
      <c r="D8" s="1">
        <v>3</v>
      </c>
      <c r="E8" s="454">
        <v>18</v>
      </c>
    </row>
    <row r="9" spans="1:5" ht="21.75" customHeight="1" x14ac:dyDescent="0.35">
      <c r="A9" s="136" t="s">
        <v>69</v>
      </c>
      <c r="B9" s="18" t="s">
        <v>21</v>
      </c>
      <c r="C9" s="1"/>
      <c r="D9" s="1"/>
      <c r="E9" s="454">
        <v>323</v>
      </c>
    </row>
    <row r="10" spans="1:5" ht="21.75" customHeight="1" x14ac:dyDescent="0.35">
      <c r="A10" s="29"/>
      <c r="B10" s="30" t="s">
        <v>23</v>
      </c>
      <c r="C10" s="1" t="s">
        <v>649</v>
      </c>
      <c r="D10" s="1">
        <v>19</v>
      </c>
      <c r="E10" s="454">
        <v>133</v>
      </c>
    </row>
    <row r="11" spans="1:5" ht="21.75" customHeight="1" x14ac:dyDescent="0.35">
      <c r="A11" s="29"/>
      <c r="B11" s="30" t="s">
        <v>24</v>
      </c>
      <c r="C11" s="1" t="s">
        <v>649</v>
      </c>
      <c r="D11" s="1">
        <v>21</v>
      </c>
      <c r="E11" s="454">
        <v>105</v>
      </c>
    </row>
    <row r="12" spans="1:5" ht="21.75" customHeight="1" x14ac:dyDescent="0.35">
      <c r="A12" s="29"/>
      <c r="B12" s="30" t="s">
        <v>25</v>
      </c>
      <c r="C12" s="1" t="s">
        <v>649</v>
      </c>
      <c r="D12" s="1">
        <v>17</v>
      </c>
      <c r="E12" s="454">
        <v>85</v>
      </c>
    </row>
    <row r="13" spans="1:5" ht="22.5" customHeight="1" x14ac:dyDescent="0.35">
      <c r="A13" s="84">
        <v>2</v>
      </c>
      <c r="B13" s="19" t="s">
        <v>14</v>
      </c>
      <c r="C13" s="84"/>
      <c r="D13" s="84"/>
      <c r="E13" s="457">
        <f>E14+E15</f>
        <v>192.5</v>
      </c>
    </row>
    <row r="14" spans="1:5" ht="24" customHeight="1" x14ac:dyDescent="0.35">
      <c r="A14" s="136" t="s">
        <v>69</v>
      </c>
      <c r="B14" s="18" t="s">
        <v>650</v>
      </c>
      <c r="C14" s="1" t="s">
        <v>651</v>
      </c>
      <c r="D14" s="1">
        <v>61</v>
      </c>
      <c r="E14" s="454">
        <v>122</v>
      </c>
    </row>
    <row r="15" spans="1:5" ht="24" customHeight="1" x14ac:dyDescent="0.35">
      <c r="A15" s="136" t="s">
        <v>69</v>
      </c>
      <c r="B15" s="18" t="s">
        <v>652</v>
      </c>
      <c r="C15" s="1" t="s">
        <v>653</v>
      </c>
      <c r="D15" s="1">
        <v>47</v>
      </c>
      <c r="E15" s="452">
        <v>70.5</v>
      </c>
    </row>
    <row r="16" spans="1:5" ht="19.5" customHeight="1" x14ac:dyDescent="0.35">
      <c r="A16" s="84">
        <v>3</v>
      </c>
      <c r="B16" s="19" t="s">
        <v>32</v>
      </c>
      <c r="C16" s="1"/>
      <c r="D16" s="1"/>
      <c r="E16" s="457">
        <f>E17+E18</f>
        <v>127.8</v>
      </c>
    </row>
    <row r="17" spans="1:5" ht="19.5" customHeight="1" x14ac:dyDescent="0.35">
      <c r="A17" s="158" t="s">
        <v>69</v>
      </c>
      <c r="B17" s="18" t="s">
        <v>508</v>
      </c>
      <c r="C17" s="1" t="s">
        <v>654</v>
      </c>
      <c r="D17" s="1">
        <v>4780</v>
      </c>
      <c r="E17" s="452">
        <v>47.8</v>
      </c>
    </row>
    <row r="18" spans="1:5" ht="19.5" customHeight="1" x14ac:dyDescent="0.35">
      <c r="A18" s="136" t="s">
        <v>69</v>
      </c>
      <c r="B18" s="18" t="s">
        <v>655</v>
      </c>
      <c r="C18" s="1" t="s">
        <v>656</v>
      </c>
      <c r="D18" s="1">
        <v>800</v>
      </c>
      <c r="E18" s="454">
        <v>80</v>
      </c>
    </row>
    <row r="19" spans="1:5" ht="19.5" customHeight="1" x14ac:dyDescent="0.35">
      <c r="A19" s="84">
        <v>4</v>
      </c>
      <c r="B19" s="10" t="s">
        <v>204</v>
      </c>
      <c r="C19" s="1"/>
      <c r="D19" s="84"/>
      <c r="E19" s="457">
        <f>SUM(E20:E22)</f>
        <v>97.5</v>
      </c>
    </row>
    <row r="20" spans="1:5" ht="19.5" customHeight="1" x14ac:dyDescent="0.35">
      <c r="A20" s="136" t="s">
        <v>69</v>
      </c>
      <c r="B20" s="18" t="s">
        <v>657</v>
      </c>
      <c r="C20" s="1" t="s">
        <v>658</v>
      </c>
      <c r="D20" s="1">
        <v>1.3</v>
      </c>
      <c r="E20" s="454">
        <v>15</v>
      </c>
    </row>
    <row r="21" spans="1:5" ht="19.5" customHeight="1" x14ac:dyDescent="0.35">
      <c r="A21" s="136" t="s">
        <v>69</v>
      </c>
      <c r="B21" s="18" t="s">
        <v>659</v>
      </c>
      <c r="C21" s="1" t="s">
        <v>658</v>
      </c>
      <c r="D21" s="1">
        <v>2.25</v>
      </c>
      <c r="E21" s="454">
        <v>48</v>
      </c>
    </row>
    <row r="22" spans="1:5" ht="19.5" customHeight="1" x14ac:dyDescent="0.35">
      <c r="A22" s="136" t="s">
        <v>69</v>
      </c>
      <c r="B22" s="18" t="s">
        <v>41</v>
      </c>
      <c r="C22" s="1" t="s">
        <v>661</v>
      </c>
      <c r="D22" s="1">
        <v>230</v>
      </c>
      <c r="E22" s="452">
        <v>34.5</v>
      </c>
    </row>
    <row r="23" spans="1:5" ht="19.5" customHeight="1" x14ac:dyDescent="0.35">
      <c r="A23" s="84">
        <v>5</v>
      </c>
      <c r="B23" s="443" t="s">
        <v>662</v>
      </c>
      <c r="C23" s="84"/>
      <c r="D23" s="84"/>
      <c r="E23" s="457">
        <f>SUM(E24:E37)</f>
        <v>286.45</v>
      </c>
    </row>
    <row r="24" spans="1:5" ht="19.5" customHeight="1" x14ac:dyDescent="0.35">
      <c r="A24" s="444" t="s">
        <v>69</v>
      </c>
      <c r="B24" s="421" t="s">
        <v>663</v>
      </c>
      <c r="C24" s="1" t="s">
        <v>660</v>
      </c>
      <c r="D24" s="1">
        <v>5</v>
      </c>
      <c r="E24" s="452">
        <v>3.25</v>
      </c>
    </row>
    <row r="25" spans="1:5" ht="19.5" customHeight="1" x14ac:dyDescent="0.35">
      <c r="A25" s="444" t="s">
        <v>69</v>
      </c>
      <c r="B25" s="422" t="s">
        <v>664</v>
      </c>
      <c r="C25" s="1" t="s">
        <v>665</v>
      </c>
      <c r="D25" s="1">
        <v>12</v>
      </c>
      <c r="E25" s="454">
        <v>12</v>
      </c>
    </row>
    <row r="26" spans="1:5" ht="19.5" customHeight="1" x14ac:dyDescent="0.35">
      <c r="A26" s="444" t="s">
        <v>69</v>
      </c>
      <c r="B26" s="421" t="s">
        <v>666</v>
      </c>
      <c r="C26" s="1" t="s">
        <v>667</v>
      </c>
      <c r="D26" s="1">
        <v>4</v>
      </c>
      <c r="E26" s="454">
        <v>5</v>
      </c>
    </row>
    <row r="27" spans="1:5" ht="19.5" customHeight="1" x14ac:dyDescent="0.35">
      <c r="A27" s="444" t="s">
        <v>69</v>
      </c>
      <c r="B27" s="421" t="s">
        <v>668</v>
      </c>
      <c r="C27" s="1" t="s">
        <v>656</v>
      </c>
      <c r="D27" s="1">
        <v>60</v>
      </c>
      <c r="E27" s="454">
        <v>12</v>
      </c>
    </row>
    <row r="28" spans="1:5" ht="19.5" customHeight="1" x14ac:dyDescent="0.35">
      <c r="A28" s="444" t="s">
        <v>69</v>
      </c>
      <c r="B28" s="421" t="s">
        <v>669</v>
      </c>
      <c r="C28" s="1" t="s">
        <v>670</v>
      </c>
      <c r="D28" s="1">
        <v>180</v>
      </c>
      <c r="E28" s="454">
        <v>60</v>
      </c>
    </row>
    <row r="29" spans="1:5" ht="19.5" customHeight="1" x14ac:dyDescent="0.35">
      <c r="A29" s="444" t="s">
        <v>69</v>
      </c>
      <c r="B29" s="421" t="s">
        <v>671</v>
      </c>
      <c r="C29" s="1" t="s">
        <v>660</v>
      </c>
      <c r="D29" s="1">
        <v>1</v>
      </c>
      <c r="E29" s="454">
        <v>40</v>
      </c>
    </row>
    <row r="30" spans="1:5" ht="19.5" customHeight="1" x14ac:dyDescent="0.35">
      <c r="A30" s="444" t="s">
        <v>69</v>
      </c>
      <c r="B30" s="421" t="s">
        <v>672</v>
      </c>
      <c r="C30" s="1" t="s">
        <v>660</v>
      </c>
      <c r="D30" s="1">
        <v>1</v>
      </c>
      <c r="E30" s="454">
        <v>20</v>
      </c>
    </row>
    <row r="31" spans="1:5" ht="19.5" customHeight="1" x14ac:dyDescent="0.35">
      <c r="A31" s="444" t="s">
        <v>69</v>
      </c>
      <c r="B31" s="421" t="s">
        <v>673</v>
      </c>
      <c r="C31" s="1" t="s">
        <v>670</v>
      </c>
      <c r="D31" s="1">
        <v>180</v>
      </c>
      <c r="E31" s="452">
        <v>16.2</v>
      </c>
    </row>
    <row r="32" spans="1:5" ht="19.5" customHeight="1" x14ac:dyDescent="0.35">
      <c r="A32" s="444" t="s">
        <v>69</v>
      </c>
      <c r="B32" s="421" t="s">
        <v>674</v>
      </c>
      <c r="C32" s="1" t="s">
        <v>670</v>
      </c>
      <c r="D32" s="1">
        <v>250</v>
      </c>
      <c r="E32" s="452">
        <v>22.5</v>
      </c>
    </row>
    <row r="33" spans="1:5" ht="19.5" customHeight="1" x14ac:dyDescent="0.35">
      <c r="A33" s="444" t="s">
        <v>69</v>
      </c>
      <c r="B33" s="421" t="s">
        <v>675</v>
      </c>
      <c r="C33" s="1" t="s">
        <v>676</v>
      </c>
      <c r="D33" s="1">
        <v>1</v>
      </c>
      <c r="E33" s="454">
        <v>12</v>
      </c>
    </row>
    <row r="34" spans="1:5" ht="19.5" customHeight="1" x14ac:dyDescent="0.35">
      <c r="A34" s="444" t="s">
        <v>69</v>
      </c>
      <c r="B34" s="421" t="s">
        <v>677</v>
      </c>
      <c r="C34" s="1" t="s">
        <v>678</v>
      </c>
      <c r="D34" s="1">
        <v>50</v>
      </c>
      <c r="E34" s="452">
        <v>12.5</v>
      </c>
    </row>
    <row r="35" spans="1:5" ht="19.5" customHeight="1" x14ac:dyDescent="0.35">
      <c r="A35" s="444" t="s">
        <v>69</v>
      </c>
      <c r="B35" s="421" t="s">
        <v>679</v>
      </c>
      <c r="C35" s="1" t="s">
        <v>670</v>
      </c>
      <c r="D35" s="1">
        <v>60</v>
      </c>
      <c r="E35" s="454">
        <v>35</v>
      </c>
    </row>
    <row r="36" spans="1:5" ht="19.5" customHeight="1" x14ac:dyDescent="0.35">
      <c r="A36" s="444" t="s">
        <v>69</v>
      </c>
      <c r="B36" s="421" t="s">
        <v>680</v>
      </c>
      <c r="C36" s="1" t="s">
        <v>681</v>
      </c>
      <c r="D36" s="1">
        <v>9</v>
      </c>
      <c r="E36" s="452">
        <v>13.5</v>
      </c>
    </row>
    <row r="37" spans="1:5" ht="19.5" customHeight="1" x14ac:dyDescent="0.35">
      <c r="A37" s="444" t="s">
        <v>69</v>
      </c>
      <c r="B37" s="421" t="s">
        <v>682</v>
      </c>
      <c r="C37" s="1" t="s">
        <v>683</v>
      </c>
      <c r="D37" s="1">
        <v>50</v>
      </c>
      <c r="E37" s="452">
        <v>22.5</v>
      </c>
    </row>
    <row r="38" spans="1:5" ht="19.5" customHeight="1" x14ac:dyDescent="0.35">
      <c r="A38" s="84">
        <v>6</v>
      </c>
      <c r="B38" s="445" t="s">
        <v>684</v>
      </c>
      <c r="C38" s="1"/>
      <c r="D38" s="1"/>
      <c r="E38" s="465">
        <f>E39+E40</f>
        <v>42</v>
      </c>
    </row>
    <row r="39" spans="1:5" ht="19.5" customHeight="1" x14ac:dyDescent="0.35">
      <c r="A39" s="136" t="s">
        <v>69</v>
      </c>
      <c r="B39" s="423" t="s">
        <v>685</v>
      </c>
      <c r="C39" s="1" t="s">
        <v>686</v>
      </c>
      <c r="D39" s="1">
        <v>8</v>
      </c>
      <c r="E39" s="454">
        <v>4</v>
      </c>
    </row>
    <row r="40" spans="1:5" ht="19.5" customHeight="1" x14ac:dyDescent="0.35">
      <c r="A40" s="136" t="s">
        <v>69</v>
      </c>
      <c r="B40" s="423" t="s">
        <v>687</v>
      </c>
      <c r="C40" s="1" t="s">
        <v>686</v>
      </c>
      <c r="D40" s="1">
        <v>38</v>
      </c>
      <c r="E40" s="454">
        <v>38</v>
      </c>
    </row>
    <row r="41" spans="1:5" ht="30" customHeight="1" x14ac:dyDescent="0.35">
      <c r="A41" s="15" t="s">
        <v>8</v>
      </c>
      <c r="B41" s="418" t="s">
        <v>168</v>
      </c>
      <c r="C41" s="15"/>
      <c r="D41" s="15"/>
      <c r="E41" s="458">
        <f>E42+E50+E57+E60+E71+E78</f>
        <v>3703.1200000000003</v>
      </c>
    </row>
    <row r="42" spans="1:5" ht="15" customHeight="1" x14ac:dyDescent="0.35">
      <c r="A42" s="86">
        <v>1</v>
      </c>
      <c r="B42" s="38" t="s">
        <v>13</v>
      </c>
      <c r="C42" s="86"/>
      <c r="D42" s="86"/>
      <c r="E42" s="467">
        <f>E43+E46</f>
        <v>2291</v>
      </c>
    </row>
    <row r="43" spans="1:5" ht="15" customHeight="1" x14ac:dyDescent="0.35">
      <c r="A43" s="37" t="s">
        <v>69</v>
      </c>
      <c r="B43" s="55" t="s">
        <v>688</v>
      </c>
      <c r="C43" s="31"/>
      <c r="D43" s="31"/>
      <c r="E43" s="468">
        <v>625</v>
      </c>
    </row>
    <row r="44" spans="1:5" ht="15" customHeight="1" x14ac:dyDescent="0.35">
      <c r="A44" s="425"/>
      <c r="B44" s="426" t="s">
        <v>689</v>
      </c>
      <c r="C44" s="31" t="s">
        <v>649</v>
      </c>
      <c r="D44" s="31">
        <v>2</v>
      </c>
      <c r="E44" s="468">
        <v>300</v>
      </c>
    </row>
    <row r="45" spans="1:5" ht="15" customHeight="1" x14ac:dyDescent="0.35">
      <c r="A45" s="425"/>
      <c r="B45" s="426" t="s">
        <v>690</v>
      </c>
      <c r="C45" s="31" t="s">
        <v>649</v>
      </c>
      <c r="D45" s="31">
        <v>13</v>
      </c>
      <c r="E45" s="468">
        <v>325</v>
      </c>
    </row>
    <row r="46" spans="1:5" ht="15" customHeight="1" x14ac:dyDescent="0.35">
      <c r="A46" s="37" t="s">
        <v>69</v>
      </c>
      <c r="B46" s="32" t="s">
        <v>21</v>
      </c>
      <c r="C46" s="31"/>
      <c r="D46" s="31"/>
      <c r="E46" s="468">
        <f>SUM(E47:E49)</f>
        <v>1666</v>
      </c>
    </row>
    <row r="47" spans="1:5" ht="15" customHeight="1" x14ac:dyDescent="0.35">
      <c r="A47" s="425"/>
      <c r="B47" s="50" t="s">
        <v>23</v>
      </c>
      <c r="C47" s="31" t="s">
        <v>649</v>
      </c>
      <c r="D47" s="31">
        <v>17</v>
      </c>
      <c r="E47" s="468">
        <v>730</v>
      </c>
    </row>
    <row r="48" spans="1:5" ht="15" customHeight="1" x14ac:dyDescent="0.35">
      <c r="A48" s="425"/>
      <c r="B48" s="50" t="s">
        <v>693</v>
      </c>
      <c r="C48" s="31" t="s">
        <v>660</v>
      </c>
      <c r="D48" s="31">
        <v>42</v>
      </c>
      <c r="E48" s="468">
        <v>756</v>
      </c>
    </row>
    <row r="49" spans="1:5" ht="15" customHeight="1" x14ac:dyDescent="0.35">
      <c r="A49" s="47"/>
      <c r="B49" s="50" t="s">
        <v>694</v>
      </c>
      <c r="C49" s="31" t="s">
        <v>660</v>
      </c>
      <c r="D49" s="31">
        <v>18</v>
      </c>
      <c r="E49" s="468">
        <v>180</v>
      </c>
    </row>
    <row r="50" spans="1:5" ht="15" customHeight="1" x14ac:dyDescent="0.35">
      <c r="A50" s="86">
        <v>2</v>
      </c>
      <c r="B50" s="51" t="s">
        <v>14</v>
      </c>
      <c r="C50" s="86"/>
      <c r="D50" s="86"/>
      <c r="E50" s="459">
        <f>SUM(E51:E56)</f>
        <v>353.8</v>
      </c>
    </row>
    <row r="51" spans="1:5" ht="15" customHeight="1" x14ac:dyDescent="0.35">
      <c r="A51" s="425" t="s">
        <v>69</v>
      </c>
      <c r="B51" s="32" t="s">
        <v>695</v>
      </c>
      <c r="C51" s="31" t="s">
        <v>651</v>
      </c>
      <c r="D51" s="31">
        <v>26</v>
      </c>
      <c r="E51" s="468">
        <v>52</v>
      </c>
    </row>
    <row r="52" spans="1:5" ht="15" customHeight="1" x14ac:dyDescent="0.35">
      <c r="A52" s="425" t="s">
        <v>69</v>
      </c>
      <c r="B52" s="32" t="s">
        <v>183</v>
      </c>
      <c r="C52" s="31" t="s">
        <v>651</v>
      </c>
      <c r="D52" s="31">
        <v>2</v>
      </c>
      <c r="E52" s="468">
        <v>20</v>
      </c>
    </row>
    <row r="53" spans="1:5" ht="15" customHeight="1" x14ac:dyDescent="0.35">
      <c r="A53" s="47" t="s">
        <v>69</v>
      </c>
      <c r="B53" s="32" t="s">
        <v>696</v>
      </c>
      <c r="C53" s="240" t="s">
        <v>653</v>
      </c>
      <c r="D53" s="240">
        <v>8</v>
      </c>
      <c r="E53" s="468">
        <v>160</v>
      </c>
    </row>
    <row r="54" spans="1:5" ht="15" customHeight="1" x14ac:dyDescent="0.35">
      <c r="A54" s="47" t="s">
        <v>69</v>
      </c>
      <c r="B54" s="32" t="s">
        <v>313</v>
      </c>
      <c r="C54" s="240" t="s">
        <v>653</v>
      </c>
      <c r="D54" s="240">
        <v>20</v>
      </c>
      <c r="E54" s="468">
        <v>60</v>
      </c>
    </row>
    <row r="55" spans="1:5" ht="15" customHeight="1" x14ac:dyDescent="0.35">
      <c r="A55" s="425" t="s">
        <v>69</v>
      </c>
      <c r="B55" s="32" t="s">
        <v>697</v>
      </c>
      <c r="C55" s="31" t="s">
        <v>698</v>
      </c>
      <c r="D55" s="31">
        <v>26</v>
      </c>
      <c r="E55" s="460">
        <v>20.8</v>
      </c>
    </row>
    <row r="56" spans="1:5" ht="15" customHeight="1" x14ac:dyDescent="0.35">
      <c r="A56" s="425" t="s">
        <v>69</v>
      </c>
      <c r="B56" s="32" t="s">
        <v>699</v>
      </c>
      <c r="C56" s="31" t="s">
        <v>700</v>
      </c>
      <c r="D56" s="31">
        <v>41</v>
      </c>
      <c r="E56" s="468">
        <v>41</v>
      </c>
    </row>
    <row r="57" spans="1:5" ht="15" customHeight="1" x14ac:dyDescent="0.35">
      <c r="A57" s="86">
        <v>3</v>
      </c>
      <c r="B57" s="51" t="s">
        <v>32</v>
      </c>
      <c r="C57" s="86"/>
      <c r="D57" s="86"/>
      <c r="E57" s="459">
        <f>E58+E59</f>
        <v>54.37</v>
      </c>
    </row>
    <row r="58" spans="1:5" ht="15" customHeight="1" x14ac:dyDescent="0.35">
      <c r="A58" s="31"/>
      <c r="B58" s="32" t="s">
        <v>701</v>
      </c>
      <c r="C58" s="240" t="s">
        <v>654</v>
      </c>
      <c r="D58" s="31">
        <v>2885</v>
      </c>
      <c r="E58" s="460">
        <v>34.619999999999997</v>
      </c>
    </row>
    <row r="59" spans="1:5" ht="15" customHeight="1" x14ac:dyDescent="0.35">
      <c r="A59" s="31"/>
      <c r="B59" s="32" t="s">
        <v>703</v>
      </c>
      <c r="C59" s="240" t="s">
        <v>654</v>
      </c>
      <c r="D59" s="31">
        <v>790</v>
      </c>
      <c r="E59" s="460">
        <v>19.75</v>
      </c>
    </row>
    <row r="60" spans="1:5" ht="15" customHeight="1" x14ac:dyDescent="0.35">
      <c r="A60" s="86">
        <v>4</v>
      </c>
      <c r="B60" s="51" t="s">
        <v>204</v>
      </c>
      <c r="C60" s="86"/>
      <c r="D60" s="86"/>
      <c r="E60" s="459">
        <f>E61+E66</f>
        <v>931.4</v>
      </c>
    </row>
    <row r="61" spans="1:5" ht="15" customHeight="1" x14ac:dyDescent="0.35">
      <c r="A61" s="47"/>
      <c r="B61" s="52" t="s">
        <v>226</v>
      </c>
      <c r="C61" s="31"/>
      <c r="D61" s="31"/>
      <c r="E61" s="468">
        <f>SUM(E62:E65)</f>
        <v>516</v>
      </c>
    </row>
    <row r="62" spans="1:5" ht="15" customHeight="1" x14ac:dyDescent="0.35">
      <c r="A62" s="31" t="s">
        <v>69</v>
      </c>
      <c r="B62" s="32" t="s">
        <v>705</v>
      </c>
      <c r="C62" s="31" t="s">
        <v>654</v>
      </c>
      <c r="D62" s="31">
        <v>260</v>
      </c>
      <c r="E62" s="468">
        <v>117</v>
      </c>
    </row>
    <row r="63" spans="1:5" ht="15" customHeight="1" x14ac:dyDescent="0.35">
      <c r="A63" s="31" t="s">
        <v>69</v>
      </c>
      <c r="B63" s="32" t="s">
        <v>706</v>
      </c>
      <c r="C63" s="31" t="s">
        <v>654</v>
      </c>
      <c r="D63" s="31">
        <v>600</v>
      </c>
      <c r="E63" s="468">
        <v>234</v>
      </c>
    </row>
    <row r="64" spans="1:5" ht="15" customHeight="1" x14ac:dyDescent="0.35">
      <c r="A64" s="31" t="s">
        <v>69</v>
      </c>
      <c r="B64" s="32" t="s">
        <v>707</v>
      </c>
      <c r="C64" s="31" t="s">
        <v>654</v>
      </c>
      <c r="D64" s="31">
        <v>500</v>
      </c>
      <c r="E64" s="468">
        <v>25</v>
      </c>
    </row>
    <row r="65" spans="1:5" ht="15" customHeight="1" x14ac:dyDescent="0.35">
      <c r="A65" s="31" t="s">
        <v>69</v>
      </c>
      <c r="B65" s="427" t="s">
        <v>708</v>
      </c>
      <c r="C65" s="428" t="s">
        <v>654</v>
      </c>
      <c r="D65" s="31">
        <v>700</v>
      </c>
      <c r="E65" s="468">
        <v>140</v>
      </c>
    </row>
    <row r="66" spans="1:5" ht="15" customHeight="1" x14ac:dyDescent="0.35">
      <c r="A66" s="47"/>
      <c r="B66" s="446" t="s">
        <v>709</v>
      </c>
      <c r="C66" s="428"/>
      <c r="D66" s="31"/>
      <c r="E66" s="460">
        <f>SUM(E67:E70)</f>
        <v>415.4</v>
      </c>
    </row>
    <row r="67" spans="1:5" ht="15" customHeight="1" x14ac:dyDescent="0.35">
      <c r="A67" s="31" t="s">
        <v>69</v>
      </c>
      <c r="B67" s="32" t="s">
        <v>705</v>
      </c>
      <c r="C67" s="31" t="s">
        <v>654</v>
      </c>
      <c r="D67" s="31">
        <v>300</v>
      </c>
      <c r="E67" s="466">
        <v>135</v>
      </c>
    </row>
    <row r="68" spans="1:5" ht="15" customHeight="1" x14ac:dyDescent="0.35">
      <c r="A68" s="31" t="s">
        <v>69</v>
      </c>
      <c r="B68" s="32" t="s">
        <v>710</v>
      </c>
      <c r="C68" s="31" t="s">
        <v>654</v>
      </c>
      <c r="D68" s="31">
        <v>260</v>
      </c>
      <c r="E68" s="460">
        <v>153.4</v>
      </c>
    </row>
    <row r="69" spans="1:5" ht="15" customHeight="1" x14ac:dyDescent="0.35">
      <c r="A69" s="31" t="s">
        <v>69</v>
      </c>
      <c r="B69" s="32" t="s">
        <v>711</v>
      </c>
      <c r="C69" s="31" t="s">
        <v>654</v>
      </c>
      <c r="D69" s="31">
        <v>300</v>
      </c>
      <c r="E69" s="468">
        <v>15</v>
      </c>
    </row>
    <row r="70" spans="1:5" ht="15" customHeight="1" x14ac:dyDescent="0.35">
      <c r="A70" s="31" t="s">
        <v>69</v>
      </c>
      <c r="B70" s="32" t="s">
        <v>708</v>
      </c>
      <c r="C70" s="428" t="s">
        <v>654</v>
      </c>
      <c r="D70" s="31">
        <v>560</v>
      </c>
      <c r="E70" s="468">
        <v>112</v>
      </c>
    </row>
    <row r="71" spans="1:5" ht="15" customHeight="1" x14ac:dyDescent="0.35">
      <c r="A71" s="86">
        <v>5</v>
      </c>
      <c r="B71" s="51" t="s">
        <v>211</v>
      </c>
      <c r="C71" s="86"/>
      <c r="D71" s="86"/>
      <c r="E71" s="459">
        <f>E72</f>
        <v>22.15</v>
      </c>
    </row>
    <row r="72" spans="1:5" ht="15" customHeight="1" x14ac:dyDescent="0.35">
      <c r="A72" s="31"/>
      <c r="B72" s="32" t="s">
        <v>46</v>
      </c>
      <c r="C72" s="31"/>
      <c r="D72" s="31"/>
      <c r="E72" s="460">
        <f>SUM(E73:E77)</f>
        <v>22.15</v>
      </c>
    </row>
    <row r="73" spans="1:5" ht="15" customHeight="1" x14ac:dyDescent="0.35">
      <c r="A73" s="47" t="s">
        <v>69</v>
      </c>
      <c r="B73" s="50" t="s">
        <v>212</v>
      </c>
      <c r="C73" s="31" t="s">
        <v>649</v>
      </c>
      <c r="D73" s="31">
        <v>1</v>
      </c>
      <c r="E73" s="468">
        <v>10</v>
      </c>
    </row>
    <row r="74" spans="1:5" ht="15" customHeight="1" x14ac:dyDescent="0.35">
      <c r="A74" s="47" t="s">
        <v>69</v>
      </c>
      <c r="B74" s="50" t="s">
        <v>201</v>
      </c>
      <c r="C74" s="31" t="s">
        <v>654</v>
      </c>
      <c r="D74" s="31">
        <v>200</v>
      </c>
      <c r="E74" s="460">
        <v>2.4</v>
      </c>
    </row>
    <row r="75" spans="1:5" ht="15" customHeight="1" x14ac:dyDescent="0.35">
      <c r="A75" s="47" t="s">
        <v>69</v>
      </c>
      <c r="B75" s="50" t="s">
        <v>712</v>
      </c>
      <c r="C75" s="31" t="s">
        <v>660</v>
      </c>
      <c r="D75" s="31">
        <v>50</v>
      </c>
      <c r="E75" s="468">
        <v>4</v>
      </c>
    </row>
    <row r="76" spans="1:5" ht="15" customHeight="1" x14ac:dyDescent="0.35">
      <c r="A76" s="47" t="s">
        <v>69</v>
      </c>
      <c r="B76" s="50" t="s">
        <v>713</v>
      </c>
      <c r="C76" s="31" t="s">
        <v>660</v>
      </c>
      <c r="D76" s="31">
        <v>5</v>
      </c>
      <c r="E76" s="460">
        <v>1.75</v>
      </c>
    </row>
    <row r="77" spans="1:5" ht="15" customHeight="1" x14ac:dyDescent="0.35">
      <c r="A77" s="47" t="s">
        <v>69</v>
      </c>
      <c r="B77" s="430" t="s">
        <v>680</v>
      </c>
      <c r="C77" s="1" t="s">
        <v>681</v>
      </c>
      <c r="D77" s="1">
        <v>4</v>
      </c>
      <c r="E77" s="453">
        <v>4</v>
      </c>
    </row>
    <row r="78" spans="1:5" ht="15" customHeight="1" x14ac:dyDescent="0.35">
      <c r="A78" s="86">
        <v>6</v>
      </c>
      <c r="B78" s="51" t="s">
        <v>66</v>
      </c>
      <c r="C78" s="86"/>
      <c r="D78" s="86"/>
      <c r="E78" s="459">
        <f>E79</f>
        <v>50.4</v>
      </c>
    </row>
    <row r="79" spans="1:5" ht="15" customHeight="1" x14ac:dyDescent="0.35">
      <c r="A79" s="47"/>
      <c r="B79" s="32" t="s">
        <v>715</v>
      </c>
      <c r="C79" s="31" t="s">
        <v>698</v>
      </c>
      <c r="D79" s="31">
        <v>42</v>
      </c>
      <c r="E79" s="460">
        <v>50.4</v>
      </c>
    </row>
    <row r="80" spans="1:5" ht="15" customHeight="1" x14ac:dyDescent="0.35">
      <c r="A80" s="68" t="s">
        <v>31</v>
      </c>
      <c r="B80" s="431" t="s">
        <v>181</v>
      </c>
      <c r="C80" s="68"/>
      <c r="D80" s="68"/>
      <c r="E80" s="451">
        <f>E81+E91+E100+E106+E115+E124</f>
        <v>3889.3620000000001</v>
      </c>
    </row>
    <row r="81" spans="1:5" ht="15" customHeight="1" x14ac:dyDescent="0.35">
      <c r="A81" s="86" t="s">
        <v>7</v>
      </c>
      <c r="B81" s="38" t="s">
        <v>13</v>
      </c>
      <c r="C81" s="86"/>
      <c r="D81" s="86"/>
      <c r="E81" s="467">
        <v>1798</v>
      </c>
    </row>
    <row r="82" spans="1:5" ht="15" customHeight="1" x14ac:dyDescent="0.35">
      <c r="A82" s="37" t="s">
        <v>69</v>
      </c>
      <c r="B82" s="55" t="s">
        <v>688</v>
      </c>
      <c r="C82" s="31"/>
      <c r="D82" s="31"/>
      <c r="E82" s="468">
        <v>200</v>
      </c>
    </row>
    <row r="83" spans="1:5" ht="15" customHeight="1" x14ac:dyDescent="0.35">
      <c r="A83" s="425"/>
      <c r="B83" s="426" t="s">
        <v>689</v>
      </c>
      <c r="C83" s="31" t="s">
        <v>649</v>
      </c>
      <c r="D83" s="31">
        <v>1</v>
      </c>
      <c r="E83" s="468">
        <v>150</v>
      </c>
    </row>
    <row r="84" spans="1:5" ht="15" customHeight="1" x14ac:dyDescent="0.35">
      <c r="A84" s="425"/>
      <c r="B84" s="426" t="s">
        <v>690</v>
      </c>
      <c r="C84" s="31" t="s">
        <v>649</v>
      </c>
      <c r="D84" s="31">
        <v>2</v>
      </c>
      <c r="E84" s="468">
        <v>50</v>
      </c>
    </row>
    <row r="85" spans="1:5" ht="15" customHeight="1" x14ac:dyDescent="0.35">
      <c r="A85" s="37" t="s">
        <v>69</v>
      </c>
      <c r="B85" s="32" t="s">
        <v>21</v>
      </c>
      <c r="C85" s="31"/>
      <c r="D85" s="31"/>
      <c r="E85" s="468">
        <v>1598</v>
      </c>
    </row>
    <row r="86" spans="1:5" ht="15" customHeight="1" x14ac:dyDescent="0.35">
      <c r="A86" s="425"/>
      <c r="B86" s="50" t="s">
        <v>691</v>
      </c>
      <c r="C86" s="31" t="s">
        <v>649</v>
      </c>
      <c r="D86" s="31">
        <v>10</v>
      </c>
      <c r="E86" s="468">
        <v>200</v>
      </c>
    </row>
    <row r="87" spans="1:5" ht="15" customHeight="1" x14ac:dyDescent="0.35">
      <c r="A87" s="425"/>
      <c r="B87" s="50" t="s">
        <v>692</v>
      </c>
      <c r="C87" s="31" t="s">
        <v>649</v>
      </c>
      <c r="D87" s="31">
        <v>5</v>
      </c>
      <c r="E87" s="468">
        <v>250</v>
      </c>
    </row>
    <row r="88" spans="1:5" ht="15" customHeight="1" x14ac:dyDescent="0.35">
      <c r="A88" s="425"/>
      <c r="B88" s="50" t="s">
        <v>771</v>
      </c>
      <c r="C88" s="31" t="s">
        <v>649</v>
      </c>
      <c r="D88" s="31">
        <v>10</v>
      </c>
      <c r="E88" s="468">
        <v>100</v>
      </c>
    </row>
    <row r="89" spans="1:5" ht="15" customHeight="1" x14ac:dyDescent="0.35">
      <c r="A89" s="425"/>
      <c r="B89" s="50" t="s">
        <v>693</v>
      </c>
      <c r="C89" s="31" t="s">
        <v>660</v>
      </c>
      <c r="D89" s="31">
        <v>41</v>
      </c>
      <c r="E89" s="468">
        <v>738</v>
      </c>
    </row>
    <row r="90" spans="1:5" ht="15" customHeight="1" x14ac:dyDescent="0.35">
      <c r="A90" s="425"/>
      <c r="B90" s="50" t="s">
        <v>694</v>
      </c>
      <c r="C90" s="31" t="s">
        <v>660</v>
      </c>
      <c r="D90" s="31">
        <v>31</v>
      </c>
      <c r="E90" s="468">
        <v>310</v>
      </c>
    </row>
    <row r="91" spans="1:5" ht="15" customHeight="1" x14ac:dyDescent="0.35">
      <c r="A91" s="86">
        <v>2</v>
      </c>
      <c r="B91" s="51" t="s">
        <v>14</v>
      </c>
      <c r="C91" s="86"/>
      <c r="D91" s="86"/>
      <c r="E91" s="459">
        <v>605.6</v>
      </c>
    </row>
    <row r="92" spans="1:5" ht="15" customHeight="1" x14ac:dyDescent="0.35">
      <c r="A92" s="425" t="s">
        <v>69</v>
      </c>
      <c r="B92" s="50" t="s">
        <v>26</v>
      </c>
      <c r="C92" s="31"/>
      <c r="D92" s="31"/>
      <c r="E92" s="468">
        <v>192</v>
      </c>
    </row>
    <row r="93" spans="1:5" ht="15" customHeight="1" x14ac:dyDescent="0.35">
      <c r="A93" s="37"/>
      <c r="B93" s="32" t="s">
        <v>695</v>
      </c>
      <c r="C93" s="31" t="s">
        <v>651</v>
      </c>
      <c r="D93" s="31">
        <v>76</v>
      </c>
      <c r="E93" s="468">
        <v>152</v>
      </c>
    </row>
    <row r="94" spans="1:5" ht="15" customHeight="1" x14ac:dyDescent="0.35">
      <c r="A94" s="37"/>
      <c r="B94" s="32" t="s">
        <v>183</v>
      </c>
      <c r="C94" s="31" t="s">
        <v>651</v>
      </c>
      <c r="D94" s="31">
        <v>4</v>
      </c>
      <c r="E94" s="468">
        <v>40</v>
      </c>
    </row>
    <row r="95" spans="1:5" ht="15" customHeight="1" x14ac:dyDescent="0.35">
      <c r="A95" s="425" t="s">
        <v>69</v>
      </c>
      <c r="B95" s="50" t="s">
        <v>196</v>
      </c>
      <c r="C95" s="86"/>
      <c r="D95" s="86"/>
      <c r="E95" s="460">
        <v>413.6</v>
      </c>
    </row>
    <row r="96" spans="1:5" ht="15" customHeight="1" x14ac:dyDescent="0.35">
      <c r="A96" s="47"/>
      <c r="B96" s="278" t="s">
        <v>696</v>
      </c>
      <c r="C96" s="240" t="s">
        <v>653</v>
      </c>
      <c r="D96" s="240">
        <v>14</v>
      </c>
      <c r="E96" s="468">
        <v>280</v>
      </c>
    </row>
    <row r="97" spans="1:5" ht="15" customHeight="1" x14ac:dyDescent="0.35">
      <c r="A97" s="47"/>
      <c r="B97" s="278" t="s">
        <v>313</v>
      </c>
      <c r="C97" s="240" t="s">
        <v>653</v>
      </c>
      <c r="D97" s="240">
        <v>14</v>
      </c>
      <c r="E97" s="468">
        <v>42</v>
      </c>
    </row>
    <row r="98" spans="1:5" ht="15" customHeight="1" x14ac:dyDescent="0.35">
      <c r="A98" s="37"/>
      <c r="B98" s="32" t="s">
        <v>697</v>
      </c>
      <c r="C98" s="31" t="s">
        <v>698</v>
      </c>
      <c r="D98" s="31">
        <v>37</v>
      </c>
      <c r="E98" s="460">
        <v>29.6</v>
      </c>
    </row>
    <row r="99" spans="1:5" ht="15" customHeight="1" x14ac:dyDescent="0.35">
      <c r="A99" s="37"/>
      <c r="B99" s="32" t="s">
        <v>699</v>
      </c>
      <c r="C99" s="31" t="s">
        <v>700</v>
      </c>
      <c r="D99" s="31">
        <v>62</v>
      </c>
      <c r="E99" s="468">
        <v>62</v>
      </c>
    </row>
    <row r="100" spans="1:5" ht="15" customHeight="1" x14ac:dyDescent="0.35">
      <c r="A100" s="86">
        <v>3</v>
      </c>
      <c r="B100" s="51" t="s">
        <v>32</v>
      </c>
      <c r="C100" s="86"/>
      <c r="D100" s="86"/>
      <c r="E100" s="459">
        <v>108.212</v>
      </c>
    </row>
    <row r="101" spans="1:5" ht="15" customHeight="1" x14ac:dyDescent="0.35">
      <c r="A101" s="31"/>
      <c r="B101" s="32" t="s">
        <v>701</v>
      </c>
      <c r="C101" s="31"/>
      <c r="D101" s="31"/>
      <c r="E101" s="460">
        <v>83.712000000000003</v>
      </c>
    </row>
    <row r="102" spans="1:5" ht="15" customHeight="1" x14ac:dyDescent="0.35">
      <c r="A102" s="47"/>
      <c r="B102" s="50" t="s">
        <v>716</v>
      </c>
      <c r="C102" s="31" t="s">
        <v>717</v>
      </c>
      <c r="D102" s="31">
        <v>5</v>
      </c>
      <c r="E102" s="468">
        <v>15</v>
      </c>
    </row>
    <row r="103" spans="1:5" ht="15" customHeight="1" x14ac:dyDescent="0.35">
      <c r="A103" s="425"/>
      <c r="B103" s="50" t="s">
        <v>702</v>
      </c>
      <c r="C103" s="31" t="s">
        <v>654</v>
      </c>
      <c r="D103" s="31">
        <v>5726</v>
      </c>
      <c r="E103" s="460">
        <v>68.712000000000003</v>
      </c>
    </row>
    <row r="104" spans="1:5" ht="15" customHeight="1" x14ac:dyDescent="0.35">
      <c r="A104" s="31"/>
      <c r="B104" s="32" t="s">
        <v>703</v>
      </c>
      <c r="C104" s="31"/>
      <c r="D104" s="31"/>
      <c r="E104" s="460">
        <v>24.5</v>
      </c>
    </row>
    <row r="105" spans="1:5" ht="15" customHeight="1" x14ac:dyDescent="0.35">
      <c r="A105" s="425"/>
      <c r="B105" s="50" t="s">
        <v>704</v>
      </c>
      <c r="C105" s="31" t="s">
        <v>654</v>
      </c>
      <c r="D105" s="31">
        <v>980</v>
      </c>
      <c r="E105" s="460">
        <v>24.5</v>
      </c>
    </row>
    <row r="106" spans="1:5" ht="15" customHeight="1" x14ac:dyDescent="0.35">
      <c r="A106" s="86">
        <v>4</v>
      </c>
      <c r="B106" s="51" t="s">
        <v>204</v>
      </c>
      <c r="C106" s="86"/>
      <c r="D106" s="86"/>
      <c r="E106" s="467">
        <v>1249</v>
      </c>
    </row>
    <row r="107" spans="1:5" ht="15" customHeight="1" x14ac:dyDescent="0.35">
      <c r="A107" s="425" t="s">
        <v>69</v>
      </c>
      <c r="B107" s="52" t="s">
        <v>226</v>
      </c>
      <c r="C107" s="31"/>
      <c r="D107" s="31"/>
      <c r="E107" s="460">
        <v>622.29999999999995</v>
      </c>
    </row>
    <row r="108" spans="1:5" ht="15" customHeight="1" x14ac:dyDescent="0.35">
      <c r="A108" s="31"/>
      <c r="B108" s="32" t="s">
        <v>710</v>
      </c>
      <c r="C108" s="31" t="s">
        <v>654</v>
      </c>
      <c r="D108" s="31">
        <v>950</v>
      </c>
      <c r="E108" s="460">
        <v>560.5</v>
      </c>
    </row>
    <row r="109" spans="1:5" ht="15" customHeight="1" x14ac:dyDescent="0.35">
      <c r="A109" s="31"/>
      <c r="B109" s="427" t="s">
        <v>718</v>
      </c>
      <c r="C109" s="449" t="s">
        <v>654</v>
      </c>
      <c r="D109" s="31">
        <v>1200</v>
      </c>
      <c r="E109" s="468">
        <v>60</v>
      </c>
    </row>
    <row r="110" spans="1:5" ht="15" customHeight="1" x14ac:dyDescent="0.35">
      <c r="A110" s="31"/>
      <c r="B110" s="427" t="s">
        <v>719</v>
      </c>
      <c r="C110" s="449" t="s">
        <v>660</v>
      </c>
      <c r="D110" s="31">
        <v>6</v>
      </c>
      <c r="E110" s="460">
        <v>1.8</v>
      </c>
    </row>
    <row r="111" spans="1:5" ht="15" customHeight="1" x14ac:dyDescent="0.35">
      <c r="A111" s="425" t="s">
        <v>69</v>
      </c>
      <c r="B111" s="447" t="s">
        <v>709</v>
      </c>
      <c r="C111" s="449"/>
      <c r="D111" s="31"/>
      <c r="E111" s="460">
        <v>626.70000000000005</v>
      </c>
    </row>
    <row r="112" spans="1:5" ht="15" customHeight="1" x14ac:dyDescent="0.35">
      <c r="A112" s="31"/>
      <c r="B112" s="32" t="s">
        <v>720</v>
      </c>
      <c r="C112" s="31" t="s">
        <v>654</v>
      </c>
      <c r="D112" s="31">
        <v>890</v>
      </c>
      <c r="E112" s="460">
        <v>525.1</v>
      </c>
    </row>
    <row r="113" spans="1:5" ht="15" customHeight="1" x14ac:dyDescent="0.35">
      <c r="A113" s="31"/>
      <c r="B113" s="32" t="s">
        <v>721</v>
      </c>
      <c r="C113" s="31" t="s">
        <v>654</v>
      </c>
      <c r="D113" s="31">
        <v>630</v>
      </c>
      <c r="E113" s="460">
        <v>12.6</v>
      </c>
    </row>
    <row r="114" spans="1:5" ht="15" customHeight="1" x14ac:dyDescent="0.35">
      <c r="A114" s="31"/>
      <c r="B114" s="32" t="s">
        <v>722</v>
      </c>
      <c r="C114" s="31" t="s">
        <v>654</v>
      </c>
      <c r="D114" s="31">
        <v>1780</v>
      </c>
      <c r="E114" s="468">
        <v>89</v>
      </c>
    </row>
    <row r="115" spans="1:5" ht="15" customHeight="1" x14ac:dyDescent="0.35">
      <c r="A115" s="86">
        <v>5</v>
      </c>
      <c r="B115" s="51" t="s">
        <v>211</v>
      </c>
      <c r="C115" s="86"/>
      <c r="D115" s="86"/>
      <c r="E115" s="459">
        <f>E116</f>
        <v>69.75</v>
      </c>
    </row>
    <row r="116" spans="1:5" ht="15" customHeight="1" x14ac:dyDescent="0.35">
      <c r="A116" s="425" t="s">
        <v>69</v>
      </c>
      <c r="B116" s="50" t="s">
        <v>46</v>
      </c>
      <c r="C116" s="31"/>
      <c r="D116" s="31"/>
      <c r="E116" s="460">
        <f>SUM(E117:E123)</f>
        <v>69.75</v>
      </c>
    </row>
    <row r="117" spans="1:5" ht="15" customHeight="1" x14ac:dyDescent="0.35">
      <c r="A117" s="31"/>
      <c r="B117" s="32" t="s">
        <v>212</v>
      </c>
      <c r="C117" s="31" t="s">
        <v>649</v>
      </c>
      <c r="D117" s="31">
        <v>1</v>
      </c>
      <c r="E117" s="468">
        <v>10</v>
      </c>
    </row>
    <row r="118" spans="1:5" ht="15" customHeight="1" x14ac:dyDescent="0.35">
      <c r="A118" s="31"/>
      <c r="B118" s="32" t="s">
        <v>723</v>
      </c>
      <c r="C118" s="31" t="s">
        <v>670</v>
      </c>
      <c r="D118" s="31">
        <v>60</v>
      </c>
      <c r="E118" s="460">
        <v>19.2</v>
      </c>
    </row>
    <row r="119" spans="1:5" ht="15" customHeight="1" x14ac:dyDescent="0.35">
      <c r="A119" s="31"/>
      <c r="B119" s="32" t="s">
        <v>526</v>
      </c>
      <c r="C119" s="31" t="s">
        <v>660</v>
      </c>
      <c r="D119" s="31">
        <v>1</v>
      </c>
      <c r="E119" s="468">
        <v>15</v>
      </c>
    </row>
    <row r="120" spans="1:5" ht="15" customHeight="1" x14ac:dyDescent="0.35">
      <c r="A120" s="31"/>
      <c r="B120" s="32" t="s">
        <v>724</v>
      </c>
      <c r="C120" s="31" t="s">
        <v>660</v>
      </c>
      <c r="D120" s="31">
        <v>1</v>
      </c>
      <c r="E120" s="468">
        <v>15</v>
      </c>
    </row>
    <row r="121" spans="1:5" ht="15" customHeight="1" x14ac:dyDescent="0.35">
      <c r="A121" s="31"/>
      <c r="B121" s="32" t="s">
        <v>725</v>
      </c>
      <c r="C121" s="31" t="s">
        <v>660</v>
      </c>
      <c r="D121" s="31">
        <v>1</v>
      </c>
      <c r="E121" s="460">
        <v>2.8</v>
      </c>
    </row>
    <row r="122" spans="1:5" ht="15" customHeight="1" x14ac:dyDescent="0.35">
      <c r="A122" s="31"/>
      <c r="B122" s="32" t="s">
        <v>713</v>
      </c>
      <c r="C122" s="31" t="s">
        <v>660</v>
      </c>
      <c r="D122" s="31">
        <v>5</v>
      </c>
      <c r="E122" s="460">
        <v>1.75</v>
      </c>
    </row>
    <row r="123" spans="1:5" ht="15" customHeight="1" x14ac:dyDescent="0.35">
      <c r="A123" s="31"/>
      <c r="B123" s="421" t="s">
        <v>680</v>
      </c>
      <c r="C123" s="1" t="s">
        <v>681</v>
      </c>
      <c r="D123" s="1">
        <v>6</v>
      </c>
      <c r="E123" s="454">
        <v>6</v>
      </c>
    </row>
    <row r="124" spans="1:5" ht="15" customHeight="1" x14ac:dyDescent="0.35">
      <c r="A124" s="86">
        <v>6</v>
      </c>
      <c r="B124" s="51" t="s">
        <v>66</v>
      </c>
      <c r="C124" s="86"/>
      <c r="D124" s="86"/>
      <c r="E124" s="459">
        <f>E125</f>
        <v>58.8</v>
      </c>
    </row>
    <row r="125" spans="1:5" ht="15" customHeight="1" x14ac:dyDescent="0.35">
      <c r="A125" s="47"/>
      <c r="B125" s="32" t="s">
        <v>715</v>
      </c>
      <c r="C125" s="31" t="s">
        <v>698</v>
      </c>
      <c r="D125" s="31">
        <v>49</v>
      </c>
      <c r="E125" s="460">
        <v>58.8</v>
      </c>
    </row>
    <row r="126" spans="1:5" ht="15" customHeight="1" x14ac:dyDescent="0.35">
      <c r="A126" s="68" t="s">
        <v>35</v>
      </c>
      <c r="B126" s="432" t="s">
        <v>78</v>
      </c>
      <c r="C126" s="68"/>
      <c r="D126" s="68"/>
      <c r="E126" s="451">
        <f>E127+E135+E146+E149+E160+E174</f>
        <v>4788.8499999999995</v>
      </c>
    </row>
    <row r="127" spans="1:5" ht="15" customHeight="1" x14ac:dyDescent="0.35">
      <c r="A127" s="86">
        <v>1</v>
      </c>
      <c r="B127" s="38" t="s">
        <v>13</v>
      </c>
      <c r="C127" s="86"/>
      <c r="D127" s="86"/>
      <c r="E127" s="467">
        <f>SUM(E128:E134)</f>
        <v>2809</v>
      </c>
    </row>
    <row r="128" spans="1:5" ht="15" customHeight="1" x14ac:dyDescent="0.35">
      <c r="A128" s="425"/>
      <c r="B128" s="55" t="s">
        <v>689</v>
      </c>
      <c r="C128" s="31" t="s">
        <v>649</v>
      </c>
      <c r="D128" s="31">
        <v>5</v>
      </c>
      <c r="E128" s="468">
        <v>750</v>
      </c>
    </row>
    <row r="129" spans="1:5" ht="15" customHeight="1" x14ac:dyDescent="0.35">
      <c r="A129" s="425"/>
      <c r="B129" s="55" t="s">
        <v>726</v>
      </c>
      <c r="C129" s="31" t="s">
        <v>649</v>
      </c>
      <c r="D129" s="31">
        <v>3</v>
      </c>
      <c r="E129" s="468">
        <v>15</v>
      </c>
    </row>
    <row r="130" spans="1:5" ht="15" customHeight="1" x14ac:dyDescent="0.35">
      <c r="A130" s="433"/>
      <c r="B130" s="32" t="s">
        <v>691</v>
      </c>
      <c r="C130" s="31" t="s">
        <v>649</v>
      </c>
      <c r="D130" s="31">
        <v>7</v>
      </c>
      <c r="E130" s="468">
        <v>140</v>
      </c>
    </row>
    <row r="131" spans="1:5" ht="15" customHeight="1" x14ac:dyDescent="0.35">
      <c r="A131" s="433"/>
      <c r="B131" s="32" t="s">
        <v>726</v>
      </c>
      <c r="C131" s="31" t="s">
        <v>649</v>
      </c>
      <c r="D131" s="31">
        <v>6</v>
      </c>
      <c r="E131" s="468">
        <v>90</v>
      </c>
    </row>
    <row r="132" spans="1:5" ht="15" customHeight="1" x14ac:dyDescent="0.35">
      <c r="A132" s="433"/>
      <c r="B132" s="32" t="s">
        <v>692</v>
      </c>
      <c r="C132" s="31" t="s">
        <v>649</v>
      </c>
      <c r="D132" s="31">
        <v>12</v>
      </c>
      <c r="E132" s="468">
        <v>600</v>
      </c>
    </row>
    <row r="133" spans="1:5" ht="15" customHeight="1" x14ac:dyDescent="0.35">
      <c r="A133" s="433"/>
      <c r="B133" s="32" t="s">
        <v>693</v>
      </c>
      <c r="C133" s="31" t="s">
        <v>660</v>
      </c>
      <c r="D133" s="31">
        <v>53</v>
      </c>
      <c r="E133" s="468">
        <v>954</v>
      </c>
    </row>
    <row r="134" spans="1:5" ht="15" customHeight="1" x14ac:dyDescent="0.35">
      <c r="A134" s="433"/>
      <c r="B134" s="32" t="s">
        <v>694</v>
      </c>
      <c r="C134" s="31" t="s">
        <v>660</v>
      </c>
      <c r="D134" s="31">
        <v>26</v>
      </c>
      <c r="E134" s="468">
        <v>260</v>
      </c>
    </row>
    <row r="135" spans="1:5" ht="15" customHeight="1" x14ac:dyDescent="0.35">
      <c r="A135" s="86">
        <v>2</v>
      </c>
      <c r="B135" s="51" t="s">
        <v>14</v>
      </c>
      <c r="C135" s="86"/>
      <c r="D135" s="86"/>
      <c r="E135" s="459">
        <f>E136+E140</f>
        <v>626.6</v>
      </c>
    </row>
    <row r="136" spans="1:5" ht="15" customHeight="1" x14ac:dyDescent="0.35">
      <c r="A136" s="37" t="s">
        <v>69</v>
      </c>
      <c r="B136" s="51" t="s">
        <v>26</v>
      </c>
      <c r="C136" s="31"/>
      <c r="D136" s="31"/>
      <c r="E136" s="468">
        <f>SUM(E137:E139)</f>
        <v>351</v>
      </c>
    </row>
    <row r="137" spans="1:5" ht="15" customHeight="1" x14ac:dyDescent="0.35">
      <c r="A137" s="425"/>
      <c r="B137" s="32" t="s">
        <v>772</v>
      </c>
      <c r="C137" s="31" t="s">
        <v>651</v>
      </c>
      <c r="D137" s="31">
        <v>116</v>
      </c>
      <c r="E137" s="468">
        <v>232</v>
      </c>
    </row>
    <row r="138" spans="1:5" ht="15" customHeight="1" x14ac:dyDescent="0.35">
      <c r="A138" s="435"/>
      <c r="B138" s="34" t="s">
        <v>727</v>
      </c>
      <c r="C138" s="33" t="s">
        <v>651</v>
      </c>
      <c r="D138" s="33">
        <v>66</v>
      </c>
      <c r="E138" s="469">
        <v>99</v>
      </c>
    </row>
    <row r="139" spans="1:5" ht="15" customHeight="1" x14ac:dyDescent="0.35">
      <c r="A139" s="425"/>
      <c r="B139" s="32" t="s">
        <v>183</v>
      </c>
      <c r="C139" s="31" t="s">
        <v>651</v>
      </c>
      <c r="D139" s="31">
        <v>2</v>
      </c>
      <c r="E139" s="468">
        <v>20</v>
      </c>
    </row>
    <row r="140" spans="1:5" ht="15" customHeight="1" x14ac:dyDescent="0.35">
      <c r="A140" s="37" t="s">
        <v>69</v>
      </c>
      <c r="B140" s="51" t="s">
        <v>196</v>
      </c>
      <c r="C140" s="86"/>
      <c r="D140" s="86"/>
      <c r="E140" s="468">
        <f>SUM(E141:E145)</f>
        <v>275.60000000000002</v>
      </c>
    </row>
    <row r="141" spans="1:5" ht="15" customHeight="1" x14ac:dyDescent="0.35">
      <c r="A141" s="90"/>
      <c r="B141" s="34" t="s">
        <v>696</v>
      </c>
      <c r="C141" s="33" t="s">
        <v>653</v>
      </c>
      <c r="D141" s="33">
        <v>7</v>
      </c>
      <c r="E141" s="469">
        <v>140</v>
      </c>
    </row>
    <row r="142" spans="1:5" ht="15" customHeight="1" x14ac:dyDescent="0.35">
      <c r="A142" s="90"/>
      <c r="B142" s="34" t="s">
        <v>313</v>
      </c>
      <c r="C142" s="33" t="s">
        <v>653</v>
      </c>
      <c r="D142" s="33">
        <v>20</v>
      </c>
      <c r="E142" s="469">
        <v>60</v>
      </c>
    </row>
    <row r="143" spans="1:5" ht="15" customHeight="1" x14ac:dyDescent="0.35">
      <c r="A143" s="90"/>
      <c r="B143" s="34" t="s">
        <v>728</v>
      </c>
      <c r="C143" s="33" t="s">
        <v>729</v>
      </c>
      <c r="D143" s="33">
        <v>1</v>
      </c>
      <c r="E143" s="469">
        <v>7</v>
      </c>
    </row>
    <row r="144" spans="1:5" ht="15" customHeight="1" x14ac:dyDescent="0.35">
      <c r="A144" s="425"/>
      <c r="B144" s="32" t="s">
        <v>697</v>
      </c>
      <c r="C144" s="31" t="s">
        <v>698</v>
      </c>
      <c r="D144" s="31">
        <v>17</v>
      </c>
      <c r="E144" s="468">
        <v>13.6</v>
      </c>
    </row>
    <row r="145" spans="1:5" ht="15" customHeight="1" x14ac:dyDescent="0.35">
      <c r="A145" s="425"/>
      <c r="B145" s="32" t="s">
        <v>699</v>
      </c>
      <c r="C145" s="31" t="s">
        <v>700</v>
      </c>
      <c r="D145" s="31">
        <v>55</v>
      </c>
      <c r="E145" s="468">
        <v>55</v>
      </c>
    </row>
    <row r="146" spans="1:5" ht="15" customHeight="1" x14ac:dyDescent="0.35">
      <c r="A146" s="86">
        <v>3</v>
      </c>
      <c r="B146" s="51" t="s">
        <v>32</v>
      </c>
      <c r="C146" s="86"/>
      <c r="D146" s="86"/>
      <c r="E146" s="459">
        <f>E148+E147</f>
        <v>53.45</v>
      </c>
    </row>
    <row r="147" spans="1:5" ht="15" customHeight="1" x14ac:dyDescent="0.35">
      <c r="A147" s="37"/>
      <c r="B147" s="278" t="s">
        <v>702</v>
      </c>
      <c r="C147" s="240" t="s">
        <v>654</v>
      </c>
      <c r="D147" s="31">
        <v>3100</v>
      </c>
      <c r="E147" s="460">
        <v>37.200000000000003</v>
      </c>
    </row>
    <row r="148" spans="1:5" ht="15" customHeight="1" x14ac:dyDescent="0.35">
      <c r="A148" s="37"/>
      <c r="B148" s="278" t="s">
        <v>704</v>
      </c>
      <c r="C148" s="240" t="s">
        <v>654</v>
      </c>
      <c r="D148" s="31">
        <v>650</v>
      </c>
      <c r="E148" s="460">
        <v>16.25</v>
      </c>
    </row>
    <row r="149" spans="1:5" ht="15" customHeight="1" x14ac:dyDescent="0.35">
      <c r="A149" s="86">
        <v>4</v>
      </c>
      <c r="B149" s="51" t="s">
        <v>204</v>
      </c>
      <c r="C149" s="86"/>
      <c r="D149" s="86"/>
      <c r="E149" s="459">
        <f>E150+E155</f>
        <v>1105.5</v>
      </c>
    </row>
    <row r="150" spans="1:5" ht="15" customHeight="1" x14ac:dyDescent="0.35">
      <c r="A150" s="37" t="s">
        <v>69</v>
      </c>
      <c r="B150" s="51" t="s">
        <v>226</v>
      </c>
      <c r="C150" s="31"/>
      <c r="D150" s="31"/>
      <c r="E150" s="468">
        <f>SUM(E151:E154)</f>
        <v>953</v>
      </c>
    </row>
    <row r="151" spans="1:5" ht="15" customHeight="1" x14ac:dyDescent="0.35">
      <c r="A151" s="90"/>
      <c r="B151" s="34" t="s">
        <v>730</v>
      </c>
      <c r="C151" s="33" t="s">
        <v>654</v>
      </c>
      <c r="D151" s="33">
        <v>1000</v>
      </c>
      <c r="E151" s="469">
        <v>50</v>
      </c>
    </row>
    <row r="152" spans="1:5" ht="15" customHeight="1" x14ac:dyDescent="0.35">
      <c r="A152" s="90"/>
      <c r="B152" s="34" t="s">
        <v>731</v>
      </c>
      <c r="C152" s="33" t="s">
        <v>654</v>
      </c>
      <c r="D152" s="33">
        <v>1500</v>
      </c>
      <c r="E152" s="469">
        <v>885</v>
      </c>
    </row>
    <row r="153" spans="1:5" ht="15" customHeight="1" x14ac:dyDescent="0.35">
      <c r="A153" s="347"/>
      <c r="B153" s="436" t="s">
        <v>657</v>
      </c>
      <c r="C153" s="437" t="s">
        <v>732</v>
      </c>
      <c r="D153" s="28">
        <v>2</v>
      </c>
      <c r="E153" s="469">
        <v>6</v>
      </c>
    </row>
    <row r="154" spans="1:5" ht="15" customHeight="1" x14ac:dyDescent="0.35">
      <c r="A154" s="347"/>
      <c r="B154" s="436" t="s">
        <v>556</v>
      </c>
      <c r="C154" s="437" t="s">
        <v>735</v>
      </c>
      <c r="D154" s="28">
        <v>150</v>
      </c>
      <c r="E154" s="469">
        <v>12</v>
      </c>
    </row>
    <row r="155" spans="1:5" ht="15" customHeight="1" x14ac:dyDescent="0.35">
      <c r="A155" s="37" t="s">
        <v>69</v>
      </c>
      <c r="B155" s="448" t="s">
        <v>709</v>
      </c>
      <c r="C155" s="428"/>
      <c r="D155" s="26"/>
      <c r="E155" s="460">
        <f>SUM(E156:E159)</f>
        <v>152.5</v>
      </c>
    </row>
    <row r="156" spans="1:5" ht="15" customHeight="1" x14ac:dyDescent="0.35">
      <c r="A156" s="47"/>
      <c r="B156" s="427" t="s">
        <v>326</v>
      </c>
      <c r="C156" s="428" t="s">
        <v>654</v>
      </c>
      <c r="D156" s="26">
        <v>200</v>
      </c>
      <c r="E156" s="469">
        <v>108</v>
      </c>
    </row>
    <row r="157" spans="1:5" ht="15" customHeight="1" x14ac:dyDescent="0.35">
      <c r="A157" s="438"/>
      <c r="B157" s="349" t="s">
        <v>730</v>
      </c>
      <c r="C157" s="28" t="s">
        <v>654</v>
      </c>
      <c r="D157" s="28">
        <v>700</v>
      </c>
      <c r="E157" s="469">
        <v>35</v>
      </c>
    </row>
    <row r="158" spans="1:5" ht="15" customHeight="1" x14ac:dyDescent="0.35">
      <c r="A158" s="438"/>
      <c r="B158" s="436" t="s">
        <v>657</v>
      </c>
      <c r="C158" s="437" t="s">
        <v>732</v>
      </c>
      <c r="D158" s="28">
        <v>0.5</v>
      </c>
      <c r="E158" s="461">
        <v>1.5</v>
      </c>
    </row>
    <row r="159" spans="1:5" ht="15" customHeight="1" x14ac:dyDescent="0.35">
      <c r="A159" s="438"/>
      <c r="B159" s="436" t="s">
        <v>556</v>
      </c>
      <c r="C159" s="437" t="s">
        <v>735</v>
      </c>
      <c r="D159" s="28">
        <v>100</v>
      </c>
      <c r="E159" s="469">
        <v>8</v>
      </c>
    </row>
    <row r="160" spans="1:5" ht="15" customHeight="1" x14ac:dyDescent="0.35">
      <c r="A160" s="86">
        <v>5</v>
      </c>
      <c r="B160" s="51" t="s">
        <v>211</v>
      </c>
      <c r="C160" s="86"/>
      <c r="D160" s="86"/>
      <c r="E160" s="459">
        <f>E161+E172</f>
        <v>112.7</v>
      </c>
    </row>
    <row r="161" spans="1:5" ht="15" customHeight="1" x14ac:dyDescent="0.35">
      <c r="A161" s="425" t="s">
        <v>69</v>
      </c>
      <c r="B161" s="50" t="s">
        <v>46</v>
      </c>
      <c r="C161" s="31"/>
      <c r="D161" s="31"/>
      <c r="E161" s="460">
        <f>SUM(E162:E171)</f>
        <v>76.7</v>
      </c>
    </row>
    <row r="162" spans="1:5" ht="15" customHeight="1" x14ac:dyDescent="0.35">
      <c r="A162" s="31"/>
      <c r="B162" s="32" t="s">
        <v>212</v>
      </c>
      <c r="C162" s="31" t="s">
        <v>649</v>
      </c>
      <c r="D162" s="31">
        <v>1</v>
      </c>
      <c r="E162" s="468">
        <v>10</v>
      </c>
    </row>
    <row r="163" spans="1:5" ht="15" customHeight="1" x14ac:dyDescent="0.35">
      <c r="A163" s="37"/>
      <c r="B163" s="32" t="s">
        <v>713</v>
      </c>
      <c r="C163" s="31" t="s">
        <v>660</v>
      </c>
      <c r="D163" s="31">
        <v>5</v>
      </c>
      <c r="E163" s="460">
        <v>1.75</v>
      </c>
    </row>
    <row r="164" spans="1:5" ht="15" customHeight="1" x14ac:dyDescent="0.35">
      <c r="A164" s="37"/>
      <c r="B164" s="32" t="s">
        <v>736</v>
      </c>
      <c r="C164" s="31" t="s">
        <v>683</v>
      </c>
      <c r="D164" s="31">
        <v>1</v>
      </c>
      <c r="E164" s="460">
        <v>2</v>
      </c>
    </row>
    <row r="165" spans="1:5" ht="15" customHeight="1" x14ac:dyDescent="0.35">
      <c r="A165" s="37"/>
      <c r="B165" s="421" t="s">
        <v>714</v>
      </c>
      <c r="C165" s="1" t="s">
        <v>667</v>
      </c>
      <c r="D165" s="1">
        <v>4</v>
      </c>
      <c r="E165" s="460">
        <v>0.15</v>
      </c>
    </row>
    <row r="166" spans="1:5" ht="15" customHeight="1" x14ac:dyDescent="0.35">
      <c r="A166" s="31"/>
      <c r="B166" s="32" t="s">
        <v>737</v>
      </c>
      <c r="C166" s="31" t="s">
        <v>670</v>
      </c>
      <c r="D166" s="31">
        <v>60</v>
      </c>
      <c r="E166" s="460">
        <v>19.2</v>
      </c>
    </row>
    <row r="167" spans="1:5" ht="15" customHeight="1" x14ac:dyDescent="0.35">
      <c r="A167" s="37"/>
      <c r="B167" s="32" t="s">
        <v>526</v>
      </c>
      <c r="C167" s="31" t="s">
        <v>660</v>
      </c>
      <c r="D167" s="31">
        <v>1</v>
      </c>
      <c r="E167" s="468">
        <v>15</v>
      </c>
    </row>
    <row r="168" spans="1:5" ht="15" customHeight="1" x14ac:dyDescent="0.35">
      <c r="A168" s="37"/>
      <c r="B168" s="32" t="s">
        <v>724</v>
      </c>
      <c r="C168" s="31" t="s">
        <v>660</v>
      </c>
      <c r="D168" s="31">
        <v>1</v>
      </c>
      <c r="E168" s="468">
        <v>15</v>
      </c>
    </row>
    <row r="169" spans="1:5" ht="15" customHeight="1" x14ac:dyDescent="0.35">
      <c r="A169" s="37"/>
      <c r="B169" s="32" t="s">
        <v>725</v>
      </c>
      <c r="C169" s="31" t="s">
        <v>660</v>
      </c>
      <c r="D169" s="31">
        <v>1</v>
      </c>
      <c r="E169" s="460">
        <v>2.8</v>
      </c>
    </row>
    <row r="170" spans="1:5" ht="15" customHeight="1" x14ac:dyDescent="0.35">
      <c r="A170" s="37"/>
      <c r="B170" s="421" t="s">
        <v>680</v>
      </c>
      <c r="C170" s="1" t="s">
        <v>681</v>
      </c>
      <c r="D170" s="1">
        <v>6</v>
      </c>
      <c r="E170" s="454">
        <v>6</v>
      </c>
    </row>
    <row r="171" spans="1:5" ht="15" customHeight="1" x14ac:dyDescent="0.35">
      <c r="A171" s="80"/>
      <c r="B171" s="440" t="s">
        <v>738</v>
      </c>
      <c r="C171" s="33" t="s">
        <v>739</v>
      </c>
      <c r="D171" s="33">
        <v>60</v>
      </c>
      <c r="E171" s="461">
        <v>4.8</v>
      </c>
    </row>
    <row r="172" spans="1:5" ht="15" customHeight="1" x14ac:dyDescent="0.35">
      <c r="A172" s="425" t="s">
        <v>69</v>
      </c>
      <c r="B172" s="50" t="s">
        <v>56</v>
      </c>
      <c r="C172" s="31"/>
      <c r="D172" s="31"/>
      <c r="E172" s="468">
        <f>E173</f>
        <v>36</v>
      </c>
    </row>
    <row r="173" spans="1:5" ht="15" customHeight="1" x14ac:dyDescent="0.35">
      <c r="A173" s="37"/>
      <c r="B173" s="32" t="s">
        <v>740</v>
      </c>
      <c r="C173" s="31" t="s">
        <v>670</v>
      </c>
      <c r="D173" s="31">
        <v>180</v>
      </c>
      <c r="E173" s="468">
        <v>36</v>
      </c>
    </row>
    <row r="174" spans="1:5" ht="15" customHeight="1" x14ac:dyDescent="0.35">
      <c r="A174" s="86">
        <v>6</v>
      </c>
      <c r="B174" s="51" t="s">
        <v>66</v>
      </c>
      <c r="C174" s="86"/>
      <c r="D174" s="86"/>
      <c r="E174" s="459">
        <f>E175</f>
        <v>81.599999999999994</v>
      </c>
    </row>
    <row r="175" spans="1:5" ht="15" customHeight="1" x14ac:dyDescent="0.35">
      <c r="A175" s="47"/>
      <c r="B175" s="32" t="s">
        <v>715</v>
      </c>
      <c r="C175" s="31" t="s">
        <v>698</v>
      </c>
      <c r="D175" s="31">
        <v>68</v>
      </c>
      <c r="E175" s="460">
        <v>81.599999999999994</v>
      </c>
    </row>
    <row r="176" spans="1:5" ht="15" customHeight="1" x14ac:dyDescent="0.35">
      <c r="A176" s="68" t="s">
        <v>44</v>
      </c>
      <c r="B176" s="432" t="s">
        <v>741</v>
      </c>
      <c r="C176" s="68"/>
      <c r="D176" s="68"/>
      <c r="E176" s="451">
        <f>E177+E185+E192+E195+E202+E213</f>
        <v>3040.07</v>
      </c>
    </row>
    <row r="177" spans="1:5" ht="15" customHeight="1" x14ac:dyDescent="0.35">
      <c r="A177" s="86">
        <v>1</v>
      </c>
      <c r="B177" s="38" t="s">
        <v>13</v>
      </c>
      <c r="C177" s="86"/>
      <c r="D177" s="86"/>
      <c r="E177" s="459">
        <f>SUM(E178:E184)</f>
        <v>1605.5</v>
      </c>
    </row>
    <row r="178" spans="1:5" ht="15" customHeight="1" x14ac:dyDescent="0.35">
      <c r="A178" s="425" t="s">
        <v>69</v>
      </c>
      <c r="B178" s="55" t="s">
        <v>689</v>
      </c>
      <c r="C178" s="31" t="s">
        <v>649</v>
      </c>
      <c r="D178" s="31">
        <v>2</v>
      </c>
      <c r="E178" s="468">
        <v>300</v>
      </c>
    </row>
    <row r="179" spans="1:5" ht="15" customHeight="1" x14ac:dyDescent="0.35">
      <c r="A179" s="425" t="s">
        <v>69</v>
      </c>
      <c r="B179" s="55" t="s">
        <v>742</v>
      </c>
      <c r="C179" s="31" t="s">
        <v>649</v>
      </c>
      <c r="D179" s="31">
        <v>1</v>
      </c>
      <c r="E179" s="460">
        <v>2.5</v>
      </c>
    </row>
    <row r="180" spans="1:5" ht="15" customHeight="1" x14ac:dyDescent="0.35">
      <c r="A180" s="425" t="s">
        <v>69</v>
      </c>
      <c r="B180" s="55" t="s">
        <v>743</v>
      </c>
      <c r="C180" s="31" t="s">
        <v>649</v>
      </c>
      <c r="D180" s="31">
        <v>1</v>
      </c>
      <c r="E180" s="468">
        <v>5</v>
      </c>
    </row>
    <row r="181" spans="1:5" ht="15" customHeight="1" x14ac:dyDescent="0.35">
      <c r="A181" s="425" t="s">
        <v>69</v>
      </c>
      <c r="B181" s="32" t="s">
        <v>691</v>
      </c>
      <c r="C181" s="31" t="s">
        <v>649</v>
      </c>
      <c r="D181" s="31">
        <v>2</v>
      </c>
      <c r="E181" s="468">
        <v>40</v>
      </c>
    </row>
    <row r="182" spans="1:5" ht="15" customHeight="1" x14ac:dyDescent="0.35">
      <c r="A182" s="425" t="s">
        <v>69</v>
      </c>
      <c r="B182" s="32" t="s">
        <v>692</v>
      </c>
      <c r="C182" s="31" t="s">
        <v>649</v>
      </c>
      <c r="D182" s="31">
        <v>7</v>
      </c>
      <c r="E182" s="468">
        <v>350</v>
      </c>
    </row>
    <row r="183" spans="1:5" ht="15" customHeight="1" x14ac:dyDescent="0.35">
      <c r="A183" s="425" t="s">
        <v>69</v>
      </c>
      <c r="B183" s="32" t="s">
        <v>693</v>
      </c>
      <c r="C183" s="31" t="s">
        <v>660</v>
      </c>
      <c r="D183" s="31">
        <v>41</v>
      </c>
      <c r="E183" s="468">
        <v>738</v>
      </c>
    </row>
    <row r="184" spans="1:5" ht="15" customHeight="1" x14ac:dyDescent="0.35">
      <c r="A184" s="425" t="s">
        <v>69</v>
      </c>
      <c r="B184" s="32" t="s">
        <v>694</v>
      </c>
      <c r="C184" s="31" t="s">
        <v>660</v>
      </c>
      <c r="D184" s="31">
        <v>17</v>
      </c>
      <c r="E184" s="468">
        <v>170</v>
      </c>
    </row>
    <row r="185" spans="1:5" ht="15" customHeight="1" x14ac:dyDescent="0.35">
      <c r="A185" s="86">
        <v>2</v>
      </c>
      <c r="B185" s="51" t="s">
        <v>14</v>
      </c>
      <c r="C185" s="86"/>
      <c r="D185" s="86"/>
      <c r="E185" s="459">
        <f>SUM(E186:E191)</f>
        <v>390.4</v>
      </c>
    </row>
    <row r="186" spans="1:5" ht="15" customHeight="1" x14ac:dyDescent="0.35">
      <c r="A186" s="425" t="s">
        <v>69</v>
      </c>
      <c r="B186" s="32" t="s">
        <v>695</v>
      </c>
      <c r="C186" s="31" t="s">
        <v>651</v>
      </c>
      <c r="D186" s="31">
        <v>34</v>
      </c>
      <c r="E186" s="468">
        <v>68</v>
      </c>
    </row>
    <row r="187" spans="1:5" ht="15" customHeight="1" x14ac:dyDescent="0.35">
      <c r="A187" s="425" t="s">
        <v>69</v>
      </c>
      <c r="B187" s="32" t="s">
        <v>183</v>
      </c>
      <c r="C187" s="31" t="s">
        <v>651</v>
      </c>
      <c r="D187" s="31">
        <v>3</v>
      </c>
      <c r="E187" s="468">
        <v>30</v>
      </c>
    </row>
    <row r="188" spans="1:5" ht="15" customHeight="1" x14ac:dyDescent="0.35">
      <c r="A188" s="425" t="s">
        <v>69</v>
      </c>
      <c r="B188" s="32" t="s">
        <v>696</v>
      </c>
      <c r="C188" s="31" t="s">
        <v>653</v>
      </c>
      <c r="D188" s="31">
        <v>6</v>
      </c>
      <c r="E188" s="468">
        <v>120</v>
      </c>
    </row>
    <row r="189" spans="1:5" ht="15" customHeight="1" x14ac:dyDescent="0.35">
      <c r="A189" s="425" t="s">
        <v>69</v>
      </c>
      <c r="B189" s="32" t="s">
        <v>313</v>
      </c>
      <c r="C189" s="31" t="s">
        <v>653</v>
      </c>
      <c r="D189" s="31">
        <v>41</v>
      </c>
      <c r="E189" s="468">
        <v>123</v>
      </c>
    </row>
    <row r="190" spans="1:5" ht="15" customHeight="1" x14ac:dyDescent="0.35">
      <c r="A190" s="425" t="s">
        <v>69</v>
      </c>
      <c r="B190" s="32" t="s">
        <v>697</v>
      </c>
      <c r="C190" s="31" t="s">
        <v>698</v>
      </c>
      <c r="D190" s="31">
        <v>8</v>
      </c>
      <c r="E190" s="460">
        <v>6.4</v>
      </c>
    </row>
    <row r="191" spans="1:5" ht="15" customHeight="1" x14ac:dyDescent="0.35">
      <c r="A191" s="425" t="s">
        <v>69</v>
      </c>
      <c r="B191" s="32" t="s">
        <v>699</v>
      </c>
      <c r="C191" s="31" t="s">
        <v>700</v>
      </c>
      <c r="D191" s="31">
        <v>43</v>
      </c>
      <c r="E191" s="468">
        <v>43</v>
      </c>
    </row>
    <row r="192" spans="1:5" ht="15" customHeight="1" x14ac:dyDescent="0.35">
      <c r="A192" s="86">
        <v>3</v>
      </c>
      <c r="B192" s="51" t="s">
        <v>32</v>
      </c>
      <c r="C192" s="86"/>
      <c r="D192" s="86"/>
      <c r="E192" s="459">
        <f>E194+E193</f>
        <v>67.069999999999993</v>
      </c>
    </row>
    <row r="193" spans="1:5" ht="15" customHeight="1" x14ac:dyDescent="0.35">
      <c r="A193" s="37"/>
      <c r="B193" s="278" t="s">
        <v>702</v>
      </c>
      <c r="C193" s="240" t="s">
        <v>654</v>
      </c>
      <c r="D193" s="31">
        <v>3860</v>
      </c>
      <c r="E193" s="460">
        <v>46.32</v>
      </c>
    </row>
    <row r="194" spans="1:5" ht="15" customHeight="1" x14ac:dyDescent="0.35">
      <c r="A194" s="37"/>
      <c r="B194" s="278" t="s">
        <v>704</v>
      </c>
      <c r="C194" s="240" t="s">
        <v>654</v>
      </c>
      <c r="D194" s="31">
        <v>830</v>
      </c>
      <c r="E194" s="460">
        <v>20.75</v>
      </c>
    </row>
    <row r="195" spans="1:5" ht="15" customHeight="1" x14ac:dyDescent="0.35">
      <c r="A195" s="86">
        <v>4</v>
      </c>
      <c r="B195" s="51" t="s">
        <v>204</v>
      </c>
      <c r="C195" s="86"/>
      <c r="D195" s="86"/>
      <c r="E195" s="459">
        <f>E196+E200</f>
        <v>818.5</v>
      </c>
    </row>
    <row r="196" spans="1:5" ht="15" customHeight="1" x14ac:dyDescent="0.35">
      <c r="A196" s="425" t="s">
        <v>69</v>
      </c>
      <c r="B196" s="50" t="s">
        <v>226</v>
      </c>
      <c r="C196" s="31"/>
      <c r="D196" s="31"/>
      <c r="E196" s="468">
        <v>671</v>
      </c>
    </row>
    <row r="197" spans="1:5" ht="15" customHeight="1" x14ac:dyDescent="0.35">
      <c r="A197" s="31"/>
      <c r="B197" s="32" t="s">
        <v>744</v>
      </c>
      <c r="C197" s="31" t="s">
        <v>654</v>
      </c>
      <c r="D197" s="31">
        <v>200</v>
      </c>
      <c r="E197" s="468">
        <v>118</v>
      </c>
    </row>
    <row r="198" spans="1:5" ht="15" customHeight="1" x14ac:dyDescent="0.35">
      <c r="A198" s="31"/>
      <c r="B198" s="427" t="s">
        <v>745</v>
      </c>
      <c r="C198" s="428" t="s">
        <v>654</v>
      </c>
      <c r="D198" s="31">
        <v>700</v>
      </c>
      <c r="E198" s="468">
        <v>413</v>
      </c>
    </row>
    <row r="199" spans="1:5" ht="15" customHeight="1" x14ac:dyDescent="0.35">
      <c r="A199" s="31"/>
      <c r="B199" s="427" t="s">
        <v>746</v>
      </c>
      <c r="C199" s="428" t="s">
        <v>654</v>
      </c>
      <c r="D199" s="31">
        <v>700</v>
      </c>
      <c r="E199" s="468">
        <v>140</v>
      </c>
    </row>
    <row r="200" spans="1:5" ht="15" customHeight="1" x14ac:dyDescent="0.35">
      <c r="A200" s="425" t="s">
        <v>69</v>
      </c>
      <c r="B200" s="429" t="s">
        <v>709</v>
      </c>
      <c r="C200" s="428"/>
      <c r="D200" s="31"/>
      <c r="E200" s="460">
        <v>147.5</v>
      </c>
    </row>
    <row r="201" spans="1:5" ht="15" customHeight="1" x14ac:dyDescent="0.35">
      <c r="A201" s="31"/>
      <c r="B201" s="32" t="s">
        <v>747</v>
      </c>
      <c r="C201" s="31" t="s">
        <v>654</v>
      </c>
      <c r="D201" s="31">
        <v>250</v>
      </c>
      <c r="E201" s="460">
        <v>147.5</v>
      </c>
    </row>
    <row r="202" spans="1:5" ht="15" customHeight="1" x14ac:dyDescent="0.35">
      <c r="A202" s="86">
        <v>5</v>
      </c>
      <c r="B202" s="51" t="s">
        <v>211</v>
      </c>
      <c r="C202" s="86"/>
      <c r="D202" s="86"/>
      <c r="E202" s="459">
        <f>E203</f>
        <v>95</v>
      </c>
    </row>
    <row r="203" spans="1:5" ht="15" customHeight="1" x14ac:dyDescent="0.35">
      <c r="A203" s="37" t="s">
        <v>69</v>
      </c>
      <c r="B203" s="32" t="s">
        <v>46</v>
      </c>
      <c r="C203" s="31"/>
      <c r="D203" s="31"/>
      <c r="E203" s="460">
        <f>SUM(E204:E212)</f>
        <v>95</v>
      </c>
    </row>
    <row r="204" spans="1:5" ht="15" customHeight="1" x14ac:dyDescent="0.35">
      <c r="A204" s="425"/>
      <c r="B204" s="32" t="s">
        <v>748</v>
      </c>
      <c r="C204" s="31" t="s">
        <v>660</v>
      </c>
      <c r="D204" s="31">
        <v>10</v>
      </c>
      <c r="E204" s="468">
        <v>20</v>
      </c>
    </row>
    <row r="205" spans="1:5" ht="15" customHeight="1" x14ac:dyDescent="0.35">
      <c r="A205" s="425"/>
      <c r="B205" s="32" t="s">
        <v>212</v>
      </c>
      <c r="C205" s="31" t="s">
        <v>649</v>
      </c>
      <c r="D205" s="31">
        <v>1</v>
      </c>
      <c r="E205" s="468">
        <v>10</v>
      </c>
    </row>
    <row r="206" spans="1:5" ht="15" customHeight="1" x14ac:dyDescent="0.35">
      <c r="A206" s="425"/>
      <c r="B206" s="32" t="s">
        <v>749</v>
      </c>
      <c r="C206" s="31" t="s">
        <v>670</v>
      </c>
      <c r="D206" s="31">
        <v>15</v>
      </c>
      <c r="E206" s="460">
        <v>5.25</v>
      </c>
    </row>
    <row r="207" spans="1:5" ht="15" customHeight="1" x14ac:dyDescent="0.35">
      <c r="A207" s="425"/>
      <c r="B207" s="32" t="s">
        <v>750</v>
      </c>
      <c r="C207" s="31" t="s">
        <v>670</v>
      </c>
      <c r="D207" s="31">
        <v>60</v>
      </c>
      <c r="E207" s="460">
        <v>19.2</v>
      </c>
    </row>
    <row r="208" spans="1:5" ht="15" customHeight="1" x14ac:dyDescent="0.35">
      <c r="A208" s="425"/>
      <c r="B208" s="32" t="s">
        <v>526</v>
      </c>
      <c r="C208" s="31" t="s">
        <v>660</v>
      </c>
      <c r="D208" s="31">
        <v>1</v>
      </c>
      <c r="E208" s="468">
        <v>15</v>
      </c>
    </row>
    <row r="209" spans="1:5" ht="15" customHeight="1" x14ac:dyDescent="0.35">
      <c r="A209" s="425"/>
      <c r="B209" s="32" t="s">
        <v>724</v>
      </c>
      <c r="C209" s="31" t="s">
        <v>660</v>
      </c>
      <c r="D209" s="31">
        <v>1</v>
      </c>
      <c r="E209" s="468">
        <v>15</v>
      </c>
    </row>
    <row r="210" spans="1:5" ht="15" customHeight="1" x14ac:dyDescent="0.35">
      <c r="A210" s="425"/>
      <c r="B210" s="32" t="s">
        <v>725</v>
      </c>
      <c r="C210" s="31" t="s">
        <v>660</v>
      </c>
      <c r="D210" s="31">
        <v>1</v>
      </c>
      <c r="E210" s="460">
        <v>2.8</v>
      </c>
    </row>
    <row r="211" spans="1:5" ht="15" customHeight="1" x14ac:dyDescent="0.35">
      <c r="A211" s="425"/>
      <c r="B211" s="32" t="s">
        <v>713</v>
      </c>
      <c r="C211" s="31" t="s">
        <v>660</v>
      </c>
      <c r="D211" s="31">
        <v>5</v>
      </c>
      <c r="E211" s="460">
        <v>1.75</v>
      </c>
    </row>
    <row r="212" spans="1:5" ht="15" customHeight="1" x14ac:dyDescent="0.35">
      <c r="A212" s="425"/>
      <c r="B212" s="421" t="s">
        <v>680</v>
      </c>
      <c r="C212" s="1" t="s">
        <v>681</v>
      </c>
      <c r="D212" s="1">
        <v>6</v>
      </c>
      <c r="E212" s="454">
        <v>6</v>
      </c>
    </row>
    <row r="213" spans="1:5" ht="15" customHeight="1" x14ac:dyDescent="0.35">
      <c r="A213" s="86">
        <v>6</v>
      </c>
      <c r="B213" s="51" t="s">
        <v>66</v>
      </c>
      <c r="C213" s="86"/>
      <c r="D213" s="86"/>
      <c r="E213" s="459">
        <f>E214</f>
        <v>63.6</v>
      </c>
    </row>
    <row r="214" spans="1:5" ht="15" customHeight="1" x14ac:dyDescent="0.35">
      <c r="A214" s="47"/>
      <c r="B214" s="32" t="s">
        <v>715</v>
      </c>
      <c r="C214" s="31" t="s">
        <v>698</v>
      </c>
      <c r="D214" s="31">
        <v>53</v>
      </c>
      <c r="E214" s="460">
        <v>63.6</v>
      </c>
    </row>
    <row r="215" spans="1:5" ht="15" customHeight="1" x14ac:dyDescent="0.35">
      <c r="A215" s="68" t="s">
        <v>60</v>
      </c>
      <c r="B215" s="432" t="s">
        <v>751</v>
      </c>
      <c r="C215" s="68"/>
      <c r="D215" s="68"/>
      <c r="E215" s="451">
        <f>E216+E223+E230+E233+E241+E251</f>
        <v>5969.5869999999995</v>
      </c>
    </row>
    <row r="216" spans="1:5" ht="15" customHeight="1" x14ac:dyDescent="0.35">
      <c r="A216" s="86">
        <v>1</v>
      </c>
      <c r="B216" s="38" t="s">
        <v>13</v>
      </c>
      <c r="C216" s="86"/>
      <c r="D216" s="86"/>
      <c r="E216" s="467">
        <f>SUM(E217:E222)</f>
        <v>2055</v>
      </c>
    </row>
    <row r="217" spans="1:5" ht="15" customHeight="1" x14ac:dyDescent="0.35">
      <c r="A217" s="37" t="s">
        <v>69</v>
      </c>
      <c r="B217" s="55" t="s">
        <v>689</v>
      </c>
      <c r="C217" s="31" t="s">
        <v>649</v>
      </c>
      <c r="D217" s="31">
        <v>2</v>
      </c>
      <c r="E217" s="468">
        <v>300</v>
      </c>
    </row>
    <row r="218" spans="1:5" ht="15" customHeight="1" x14ac:dyDescent="0.35">
      <c r="A218" s="37" t="s">
        <v>69</v>
      </c>
      <c r="B218" s="55" t="s">
        <v>742</v>
      </c>
      <c r="C218" s="31" t="s">
        <v>649</v>
      </c>
      <c r="D218" s="31">
        <v>1</v>
      </c>
      <c r="E218" s="468">
        <v>25</v>
      </c>
    </row>
    <row r="219" spans="1:5" ht="15" customHeight="1" x14ac:dyDescent="0.35">
      <c r="A219" s="37" t="s">
        <v>69</v>
      </c>
      <c r="B219" s="32" t="s">
        <v>691</v>
      </c>
      <c r="C219" s="31" t="s">
        <v>649</v>
      </c>
      <c r="D219" s="31">
        <v>11</v>
      </c>
      <c r="E219" s="468">
        <v>220</v>
      </c>
    </row>
    <row r="220" spans="1:5" ht="15" customHeight="1" x14ac:dyDescent="0.35">
      <c r="A220" s="37" t="s">
        <v>69</v>
      </c>
      <c r="B220" s="32" t="s">
        <v>692</v>
      </c>
      <c r="C220" s="31" t="s">
        <v>649</v>
      </c>
      <c r="D220" s="31">
        <v>11</v>
      </c>
      <c r="E220" s="468">
        <v>550</v>
      </c>
    </row>
    <row r="221" spans="1:5" ht="15" customHeight="1" x14ac:dyDescent="0.35">
      <c r="A221" s="37" t="s">
        <v>69</v>
      </c>
      <c r="B221" s="32" t="s">
        <v>693</v>
      </c>
      <c r="C221" s="31" t="s">
        <v>660</v>
      </c>
      <c r="D221" s="31">
        <v>40</v>
      </c>
      <c r="E221" s="468">
        <v>720</v>
      </c>
    </row>
    <row r="222" spans="1:5" ht="15" customHeight="1" x14ac:dyDescent="0.35">
      <c r="A222" s="37" t="s">
        <v>69</v>
      </c>
      <c r="B222" s="32" t="s">
        <v>694</v>
      </c>
      <c r="C222" s="31" t="s">
        <v>660</v>
      </c>
      <c r="D222" s="31">
        <v>24</v>
      </c>
      <c r="E222" s="468">
        <v>240</v>
      </c>
    </row>
    <row r="223" spans="1:5" ht="15" customHeight="1" x14ac:dyDescent="0.35">
      <c r="A223" s="86">
        <v>2</v>
      </c>
      <c r="B223" s="51" t="s">
        <v>14</v>
      </c>
      <c r="C223" s="86"/>
      <c r="D223" s="86"/>
      <c r="E223" s="459">
        <f>SUM(E224:E229)</f>
        <v>392.6</v>
      </c>
    </row>
    <row r="224" spans="1:5" ht="15" customHeight="1" x14ac:dyDescent="0.35">
      <c r="A224" s="425" t="s">
        <v>69</v>
      </c>
      <c r="B224" s="50" t="s">
        <v>695</v>
      </c>
      <c r="C224" s="31" t="s">
        <v>651</v>
      </c>
      <c r="D224" s="31">
        <v>73</v>
      </c>
      <c r="E224" s="468">
        <v>146</v>
      </c>
    </row>
    <row r="225" spans="1:5" ht="15" customHeight="1" x14ac:dyDescent="0.35">
      <c r="A225" s="425" t="s">
        <v>69</v>
      </c>
      <c r="B225" s="50" t="s">
        <v>183</v>
      </c>
      <c r="C225" s="31" t="s">
        <v>651</v>
      </c>
      <c r="D225" s="31">
        <v>3</v>
      </c>
      <c r="E225" s="468">
        <v>30</v>
      </c>
    </row>
    <row r="226" spans="1:5" ht="15" customHeight="1" x14ac:dyDescent="0.35">
      <c r="A226" s="425" t="s">
        <v>69</v>
      </c>
      <c r="B226" s="50" t="s">
        <v>696</v>
      </c>
      <c r="C226" s="31" t="s">
        <v>653</v>
      </c>
      <c r="D226" s="31">
        <v>4</v>
      </c>
      <c r="E226" s="468">
        <v>80</v>
      </c>
    </row>
    <row r="227" spans="1:5" ht="15" customHeight="1" x14ac:dyDescent="0.35">
      <c r="A227" s="425" t="s">
        <v>69</v>
      </c>
      <c r="B227" s="50" t="s">
        <v>313</v>
      </c>
      <c r="C227" s="31" t="s">
        <v>653</v>
      </c>
      <c r="D227" s="31">
        <v>16</v>
      </c>
      <c r="E227" s="468">
        <v>48</v>
      </c>
    </row>
    <row r="228" spans="1:5" ht="15" customHeight="1" x14ac:dyDescent="0.35">
      <c r="A228" s="425" t="s">
        <v>69</v>
      </c>
      <c r="B228" s="50" t="s">
        <v>697</v>
      </c>
      <c r="C228" s="31" t="s">
        <v>698</v>
      </c>
      <c r="D228" s="31">
        <v>37</v>
      </c>
      <c r="E228" s="460">
        <v>29.6</v>
      </c>
    </row>
    <row r="229" spans="1:5" ht="15" customHeight="1" x14ac:dyDescent="0.35">
      <c r="A229" s="425" t="s">
        <v>69</v>
      </c>
      <c r="B229" s="50" t="s">
        <v>699</v>
      </c>
      <c r="C229" s="31" t="s">
        <v>700</v>
      </c>
      <c r="D229" s="31">
        <v>59</v>
      </c>
      <c r="E229" s="468">
        <v>59</v>
      </c>
    </row>
    <row r="230" spans="1:5" ht="15" customHeight="1" x14ac:dyDescent="0.35">
      <c r="A230" s="86">
        <v>3</v>
      </c>
      <c r="B230" s="51" t="s">
        <v>32</v>
      </c>
      <c r="C230" s="86"/>
      <c r="D230" s="86"/>
      <c r="E230" s="459">
        <f>E232+E231</f>
        <v>127.95699999999999</v>
      </c>
    </row>
    <row r="231" spans="1:5" ht="15" customHeight="1" x14ac:dyDescent="0.35">
      <c r="A231" s="425"/>
      <c r="B231" s="50" t="s">
        <v>702</v>
      </c>
      <c r="C231" s="31" t="s">
        <v>654</v>
      </c>
      <c r="D231" s="31">
        <v>9361</v>
      </c>
      <c r="E231" s="460">
        <v>112.33199999999999</v>
      </c>
    </row>
    <row r="232" spans="1:5" ht="15" customHeight="1" x14ac:dyDescent="0.35">
      <c r="A232" s="425"/>
      <c r="B232" s="50" t="s">
        <v>704</v>
      </c>
      <c r="C232" s="31" t="s">
        <v>654</v>
      </c>
      <c r="D232" s="31">
        <v>625</v>
      </c>
      <c r="E232" s="460">
        <v>15.625</v>
      </c>
    </row>
    <row r="233" spans="1:5" ht="15" customHeight="1" x14ac:dyDescent="0.35">
      <c r="A233" s="86">
        <v>4</v>
      </c>
      <c r="B233" s="51" t="s">
        <v>204</v>
      </c>
      <c r="C233" s="86"/>
      <c r="D233" s="86"/>
      <c r="E233" s="459">
        <f>E238+E234</f>
        <v>3031.18</v>
      </c>
    </row>
    <row r="234" spans="1:5" ht="15" customHeight="1" x14ac:dyDescent="0.35">
      <c r="A234" s="37" t="s">
        <v>69</v>
      </c>
      <c r="B234" s="51" t="s">
        <v>226</v>
      </c>
      <c r="C234" s="31"/>
      <c r="D234" s="31"/>
      <c r="E234" s="468">
        <v>2528</v>
      </c>
    </row>
    <row r="235" spans="1:5" ht="15" customHeight="1" x14ac:dyDescent="0.35">
      <c r="A235" s="47"/>
      <c r="B235" s="32" t="s">
        <v>326</v>
      </c>
      <c r="C235" s="31" t="s">
        <v>654</v>
      </c>
      <c r="D235" s="31">
        <v>1100</v>
      </c>
      <c r="E235" s="468">
        <v>495</v>
      </c>
    </row>
    <row r="236" spans="1:5" ht="15" customHeight="1" x14ac:dyDescent="0.35">
      <c r="A236" s="33"/>
      <c r="B236" s="34" t="s">
        <v>710</v>
      </c>
      <c r="C236" s="33" t="s">
        <v>654</v>
      </c>
      <c r="D236" s="33">
        <v>2700</v>
      </c>
      <c r="E236" s="469">
        <v>1593</v>
      </c>
    </row>
    <row r="237" spans="1:5" ht="15" customHeight="1" x14ac:dyDescent="0.35">
      <c r="A237" s="33"/>
      <c r="B237" s="436" t="s">
        <v>708</v>
      </c>
      <c r="C237" s="437" t="s">
        <v>654</v>
      </c>
      <c r="D237" s="33">
        <v>2200</v>
      </c>
      <c r="E237" s="469">
        <v>440</v>
      </c>
    </row>
    <row r="238" spans="1:5" ht="15" customHeight="1" x14ac:dyDescent="0.35">
      <c r="A238" s="37" t="s">
        <v>69</v>
      </c>
      <c r="B238" s="448" t="s">
        <v>709</v>
      </c>
      <c r="C238" s="428"/>
      <c r="D238" s="31"/>
      <c r="E238" s="460">
        <v>503.18</v>
      </c>
    </row>
    <row r="239" spans="1:5" ht="15" customHeight="1" x14ac:dyDescent="0.35">
      <c r="A239" s="47"/>
      <c r="B239" s="32" t="s">
        <v>326</v>
      </c>
      <c r="C239" s="31" t="s">
        <v>654</v>
      </c>
      <c r="D239" s="31">
        <v>755</v>
      </c>
      <c r="E239" s="460">
        <v>339.75</v>
      </c>
    </row>
    <row r="240" spans="1:5" ht="15" customHeight="1" x14ac:dyDescent="0.35">
      <c r="A240" s="47"/>
      <c r="B240" s="32" t="s">
        <v>710</v>
      </c>
      <c r="C240" s="31" t="s">
        <v>654</v>
      </c>
      <c r="D240" s="31">
        <v>277</v>
      </c>
      <c r="E240" s="460">
        <v>163.43</v>
      </c>
    </row>
    <row r="241" spans="1:5" ht="15" customHeight="1" x14ac:dyDescent="0.35">
      <c r="A241" s="86">
        <v>5</v>
      </c>
      <c r="B241" s="51" t="s">
        <v>211</v>
      </c>
      <c r="C241" s="86"/>
      <c r="D241" s="86"/>
      <c r="E241" s="459">
        <f>SUM(E242:E250)</f>
        <v>280.05</v>
      </c>
    </row>
    <row r="242" spans="1:5" ht="15" customHeight="1" x14ac:dyDescent="0.35">
      <c r="A242" s="425" t="s">
        <v>69</v>
      </c>
      <c r="B242" s="50" t="s">
        <v>212</v>
      </c>
      <c r="C242" s="31" t="s">
        <v>649</v>
      </c>
      <c r="D242" s="31">
        <v>1</v>
      </c>
      <c r="E242" s="468">
        <v>10</v>
      </c>
    </row>
    <row r="243" spans="1:5" ht="15" customHeight="1" x14ac:dyDescent="0.35">
      <c r="A243" s="425" t="s">
        <v>69</v>
      </c>
      <c r="B243" s="50" t="s">
        <v>752</v>
      </c>
      <c r="C243" s="31" t="s">
        <v>683</v>
      </c>
      <c r="D243" s="31">
        <v>30</v>
      </c>
      <c r="E243" s="468">
        <v>60</v>
      </c>
    </row>
    <row r="244" spans="1:5" ht="15" customHeight="1" x14ac:dyDescent="0.35">
      <c r="A244" s="425" t="s">
        <v>69</v>
      </c>
      <c r="B244" s="50" t="s">
        <v>753</v>
      </c>
      <c r="C244" s="31" t="s">
        <v>683</v>
      </c>
      <c r="D244" s="31">
        <v>1</v>
      </c>
      <c r="E244" s="460">
        <v>2.5</v>
      </c>
    </row>
    <row r="245" spans="1:5" ht="15" customHeight="1" x14ac:dyDescent="0.35">
      <c r="A245" s="425" t="s">
        <v>69</v>
      </c>
      <c r="B245" s="50" t="s">
        <v>526</v>
      </c>
      <c r="C245" s="31" t="s">
        <v>660</v>
      </c>
      <c r="D245" s="31">
        <v>1</v>
      </c>
      <c r="E245" s="468">
        <v>150</v>
      </c>
    </row>
    <row r="246" spans="1:5" ht="15" customHeight="1" x14ac:dyDescent="0.35">
      <c r="A246" s="425" t="s">
        <v>69</v>
      </c>
      <c r="B246" s="50" t="s">
        <v>724</v>
      </c>
      <c r="C246" s="31" t="s">
        <v>660</v>
      </c>
      <c r="D246" s="31">
        <v>1</v>
      </c>
      <c r="E246" s="468">
        <v>15</v>
      </c>
    </row>
    <row r="247" spans="1:5" ht="15" customHeight="1" x14ac:dyDescent="0.35">
      <c r="A247" s="425" t="s">
        <v>69</v>
      </c>
      <c r="B247" s="50" t="s">
        <v>725</v>
      </c>
      <c r="C247" s="31" t="s">
        <v>660</v>
      </c>
      <c r="D247" s="31">
        <v>1</v>
      </c>
      <c r="E247" s="460">
        <v>2.8</v>
      </c>
    </row>
    <row r="248" spans="1:5" ht="15" customHeight="1" x14ac:dyDescent="0.35">
      <c r="A248" s="425" t="s">
        <v>69</v>
      </c>
      <c r="B248" s="50" t="s">
        <v>713</v>
      </c>
      <c r="C248" s="31" t="s">
        <v>660</v>
      </c>
      <c r="D248" s="31">
        <v>5</v>
      </c>
      <c r="E248" s="460">
        <v>1.75</v>
      </c>
    </row>
    <row r="249" spans="1:5" ht="15" customHeight="1" x14ac:dyDescent="0.35">
      <c r="A249" s="425" t="s">
        <v>69</v>
      </c>
      <c r="B249" s="430" t="s">
        <v>680</v>
      </c>
      <c r="C249" s="1" t="s">
        <v>681</v>
      </c>
      <c r="D249" s="1">
        <v>4</v>
      </c>
      <c r="E249" s="454">
        <v>4</v>
      </c>
    </row>
    <row r="250" spans="1:5" ht="15" customHeight="1" x14ac:dyDescent="0.35">
      <c r="A250" s="425" t="s">
        <v>69</v>
      </c>
      <c r="B250" s="50" t="s">
        <v>740</v>
      </c>
      <c r="C250" s="31" t="s">
        <v>670</v>
      </c>
      <c r="D250" s="31">
        <v>170</v>
      </c>
      <c r="E250" s="468">
        <v>34</v>
      </c>
    </row>
    <row r="251" spans="1:5" ht="15" customHeight="1" x14ac:dyDescent="0.35">
      <c r="A251" s="86">
        <v>6</v>
      </c>
      <c r="B251" s="51" t="s">
        <v>66</v>
      </c>
      <c r="C251" s="86"/>
      <c r="D251" s="86"/>
      <c r="E251" s="459">
        <f>E252</f>
        <v>82.8</v>
      </c>
    </row>
    <row r="252" spans="1:5" ht="15" customHeight="1" x14ac:dyDescent="0.35">
      <c r="A252" s="47"/>
      <c r="B252" s="50" t="s">
        <v>715</v>
      </c>
      <c r="C252" s="31" t="s">
        <v>698</v>
      </c>
      <c r="D252" s="31">
        <v>69</v>
      </c>
      <c r="E252" s="460">
        <v>82.8</v>
      </c>
    </row>
    <row r="253" spans="1:5" ht="15" customHeight="1" x14ac:dyDescent="0.35">
      <c r="A253" s="68" t="s">
        <v>64</v>
      </c>
      <c r="B253" s="432" t="s">
        <v>754</v>
      </c>
      <c r="C253" s="68"/>
      <c r="D253" s="68"/>
      <c r="E253" s="451">
        <f>E254+E261+E269+E272+E285+E295</f>
        <v>7789.94</v>
      </c>
    </row>
    <row r="254" spans="1:5" ht="15" customHeight="1" x14ac:dyDescent="0.35">
      <c r="A254" s="86">
        <v>1</v>
      </c>
      <c r="B254" s="38" t="s">
        <v>13</v>
      </c>
      <c r="C254" s="86"/>
      <c r="D254" s="86"/>
      <c r="E254" s="467">
        <f>SUM(E255:E260)</f>
        <v>3260</v>
      </c>
    </row>
    <row r="255" spans="1:5" ht="15" customHeight="1" x14ac:dyDescent="0.35">
      <c r="A255" s="425" t="s">
        <v>69</v>
      </c>
      <c r="B255" s="55" t="s">
        <v>689</v>
      </c>
      <c r="C255" s="31" t="s">
        <v>649</v>
      </c>
      <c r="D255" s="31">
        <v>1</v>
      </c>
      <c r="E255" s="468">
        <v>150</v>
      </c>
    </row>
    <row r="256" spans="1:5" ht="15" customHeight="1" x14ac:dyDescent="0.35">
      <c r="A256" s="425" t="s">
        <v>69</v>
      </c>
      <c r="B256" s="55" t="s">
        <v>726</v>
      </c>
      <c r="C256" s="31" t="s">
        <v>649</v>
      </c>
      <c r="D256" s="31">
        <v>2</v>
      </c>
      <c r="E256" s="468">
        <v>10</v>
      </c>
    </row>
    <row r="257" spans="1:5" ht="15" customHeight="1" x14ac:dyDescent="0.35">
      <c r="A257" s="425" t="s">
        <v>69</v>
      </c>
      <c r="B257" s="27" t="s">
        <v>691</v>
      </c>
      <c r="C257" s="26" t="s">
        <v>649</v>
      </c>
      <c r="D257" s="26">
        <v>34</v>
      </c>
      <c r="E257" s="470">
        <v>680</v>
      </c>
    </row>
    <row r="258" spans="1:5" ht="15" customHeight="1" x14ac:dyDescent="0.35">
      <c r="A258" s="425" t="s">
        <v>69</v>
      </c>
      <c r="B258" s="32" t="s">
        <v>692</v>
      </c>
      <c r="C258" s="31" t="s">
        <v>649</v>
      </c>
      <c r="D258" s="31">
        <v>8</v>
      </c>
      <c r="E258" s="468">
        <v>400</v>
      </c>
    </row>
    <row r="259" spans="1:5" ht="15" customHeight="1" x14ac:dyDescent="0.35">
      <c r="A259" s="425" t="s">
        <v>69</v>
      </c>
      <c r="B259" s="32" t="s">
        <v>693</v>
      </c>
      <c r="C259" s="31" t="s">
        <v>660</v>
      </c>
      <c r="D259" s="31">
        <v>90</v>
      </c>
      <c r="E259" s="468">
        <v>1620</v>
      </c>
    </row>
    <row r="260" spans="1:5" ht="15" customHeight="1" x14ac:dyDescent="0.35">
      <c r="A260" s="425" t="s">
        <v>69</v>
      </c>
      <c r="B260" s="32" t="s">
        <v>694</v>
      </c>
      <c r="C260" s="31" t="s">
        <v>660</v>
      </c>
      <c r="D260" s="31">
        <v>40</v>
      </c>
      <c r="E260" s="468">
        <v>400</v>
      </c>
    </row>
    <row r="261" spans="1:5" ht="15" customHeight="1" x14ac:dyDescent="0.35">
      <c r="A261" s="86">
        <v>2</v>
      </c>
      <c r="B261" s="51" t="s">
        <v>14</v>
      </c>
      <c r="C261" s="86"/>
      <c r="D261" s="86"/>
      <c r="E261" s="459">
        <f>SUM(E262:E268)</f>
        <v>627.20000000000005</v>
      </c>
    </row>
    <row r="262" spans="1:5" ht="15" customHeight="1" x14ac:dyDescent="0.35">
      <c r="A262" s="425" t="s">
        <v>69</v>
      </c>
      <c r="B262" s="32" t="s">
        <v>772</v>
      </c>
      <c r="C262" s="31" t="s">
        <v>651</v>
      </c>
      <c r="D262" s="31">
        <v>125</v>
      </c>
      <c r="E262" s="468">
        <v>250</v>
      </c>
    </row>
    <row r="263" spans="1:5" ht="15" customHeight="1" x14ac:dyDescent="0.35">
      <c r="A263" s="425" t="s">
        <v>69</v>
      </c>
      <c r="B263" s="34" t="s">
        <v>727</v>
      </c>
      <c r="C263" s="33" t="s">
        <v>651</v>
      </c>
      <c r="D263" s="33">
        <v>40</v>
      </c>
      <c r="E263" s="469">
        <v>60</v>
      </c>
    </row>
    <row r="264" spans="1:5" ht="15" customHeight="1" x14ac:dyDescent="0.35">
      <c r="A264" s="425" t="s">
        <v>69</v>
      </c>
      <c r="B264" s="32" t="s">
        <v>183</v>
      </c>
      <c r="C264" s="31" t="s">
        <v>651</v>
      </c>
      <c r="D264" s="31">
        <v>3</v>
      </c>
      <c r="E264" s="468">
        <v>30</v>
      </c>
    </row>
    <row r="265" spans="1:5" ht="15" customHeight="1" x14ac:dyDescent="0.35">
      <c r="A265" s="425" t="s">
        <v>69</v>
      </c>
      <c r="B265" s="34" t="s">
        <v>696</v>
      </c>
      <c r="C265" s="33" t="s">
        <v>653</v>
      </c>
      <c r="D265" s="33">
        <v>8</v>
      </c>
      <c r="E265" s="469">
        <v>160</v>
      </c>
    </row>
    <row r="266" spans="1:5" ht="15" customHeight="1" x14ac:dyDescent="0.35">
      <c r="A266" s="425" t="s">
        <v>69</v>
      </c>
      <c r="B266" s="34" t="s">
        <v>313</v>
      </c>
      <c r="C266" s="33" t="s">
        <v>653</v>
      </c>
      <c r="D266" s="33">
        <v>12</v>
      </c>
      <c r="E266" s="469">
        <v>36</v>
      </c>
    </row>
    <row r="267" spans="1:5" ht="15" customHeight="1" x14ac:dyDescent="0.35">
      <c r="A267" s="425" t="s">
        <v>69</v>
      </c>
      <c r="B267" s="32" t="s">
        <v>697</v>
      </c>
      <c r="C267" s="31" t="s">
        <v>698</v>
      </c>
      <c r="D267" s="31">
        <v>34</v>
      </c>
      <c r="E267" s="460">
        <v>27.2</v>
      </c>
    </row>
    <row r="268" spans="1:5" ht="15" customHeight="1" x14ac:dyDescent="0.35">
      <c r="A268" s="425" t="s">
        <v>69</v>
      </c>
      <c r="B268" s="32" t="s">
        <v>699</v>
      </c>
      <c r="C268" s="31" t="s">
        <v>700</v>
      </c>
      <c r="D268" s="31">
        <v>64</v>
      </c>
      <c r="E268" s="468">
        <v>64</v>
      </c>
    </row>
    <row r="269" spans="1:5" ht="15" customHeight="1" x14ac:dyDescent="0.35">
      <c r="A269" s="86">
        <v>3</v>
      </c>
      <c r="B269" s="51" t="s">
        <v>32</v>
      </c>
      <c r="C269" s="86"/>
      <c r="D269" s="86"/>
      <c r="E269" s="467">
        <f>E271+E270</f>
        <v>134</v>
      </c>
    </row>
    <row r="270" spans="1:5" ht="15" customHeight="1" x14ac:dyDescent="0.35">
      <c r="A270" s="425"/>
      <c r="B270" s="50" t="s">
        <v>702</v>
      </c>
      <c r="C270" s="31" t="s">
        <v>654</v>
      </c>
      <c r="D270" s="44">
        <v>10000</v>
      </c>
      <c r="E270" s="468">
        <v>120</v>
      </c>
    </row>
    <row r="271" spans="1:5" ht="15" customHeight="1" x14ac:dyDescent="0.35">
      <c r="A271" s="425"/>
      <c r="B271" s="50" t="s">
        <v>704</v>
      </c>
      <c r="C271" s="31" t="s">
        <v>654</v>
      </c>
      <c r="D271" s="31">
        <v>560</v>
      </c>
      <c r="E271" s="468">
        <v>14</v>
      </c>
    </row>
    <row r="272" spans="1:5" ht="15" customHeight="1" x14ac:dyDescent="0.35">
      <c r="A272" s="86">
        <v>4</v>
      </c>
      <c r="B272" s="51" t="s">
        <v>204</v>
      </c>
      <c r="C272" s="86"/>
      <c r="D272" s="86"/>
      <c r="E272" s="459">
        <f>E280+E273</f>
        <v>3550.74</v>
      </c>
    </row>
    <row r="273" spans="1:5" ht="15" customHeight="1" x14ac:dyDescent="0.35">
      <c r="A273" s="37" t="s">
        <v>69</v>
      </c>
      <c r="B273" s="51" t="s">
        <v>226</v>
      </c>
      <c r="C273" s="31"/>
      <c r="D273" s="31"/>
      <c r="E273" s="460">
        <f>SUM(E274:E279)</f>
        <v>2200.4999999999995</v>
      </c>
    </row>
    <row r="274" spans="1:5" ht="15" customHeight="1" x14ac:dyDescent="0.35">
      <c r="A274" s="31"/>
      <c r="B274" s="427" t="s">
        <v>326</v>
      </c>
      <c r="C274" s="428" t="s">
        <v>654</v>
      </c>
      <c r="D274" s="26">
        <v>2840</v>
      </c>
      <c r="E274" s="461">
        <v>1533.6</v>
      </c>
    </row>
    <row r="275" spans="1:5" ht="15" customHeight="1" x14ac:dyDescent="0.35">
      <c r="A275" s="90"/>
      <c r="B275" s="34" t="s">
        <v>730</v>
      </c>
      <c r="C275" s="33" t="s">
        <v>654</v>
      </c>
      <c r="D275" s="33">
        <v>2100</v>
      </c>
      <c r="E275" s="469">
        <v>105</v>
      </c>
    </row>
    <row r="276" spans="1:5" ht="15" customHeight="1" x14ac:dyDescent="0.35">
      <c r="A276" s="90"/>
      <c r="B276" s="34" t="s">
        <v>731</v>
      </c>
      <c r="C276" s="33" t="s">
        <v>654</v>
      </c>
      <c r="D276" s="33">
        <v>870</v>
      </c>
      <c r="E276" s="469">
        <v>513.29999999999995</v>
      </c>
    </row>
    <row r="277" spans="1:5" ht="15" customHeight="1" x14ac:dyDescent="0.35">
      <c r="A277" s="347"/>
      <c r="B277" s="436" t="s">
        <v>657</v>
      </c>
      <c r="C277" s="437" t="s">
        <v>732</v>
      </c>
      <c r="D277" s="28">
        <v>7</v>
      </c>
      <c r="E277" s="469">
        <v>21</v>
      </c>
    </row>
    <row r="278" spans="1:5" ht="15" customHeight="1" x14ac:dyDescent="0.35">
      <c r="A278" s="347"/>
      <c r="B278" s="436" t="s">
        <v>733</v>
      </c>
      <c r="C278" s="437" t="s">
        <v>734</v>
      </c>
      <c r="D278" s="28">
        <v>12</v>
      </c>
      <c r="E278" s="461">
        <v>3.6</v>
      </c>
    </row>
    <row r="279" spans="1:5" ht="15" customHeight="1" x14ac:dyDescent="0.35">
      <c r="A279" s="347"/>
      <c r="B279" s="436" t="s">
        <v>556</v>
      </c>
      <c r="C279" s="437" t="s">
        <v>735</v>
      </c>
      <c r="D279" s="28">
        <v>300</v>
      </c>
      <c r="E279" s="469">
        <v>24</v>
      </c>
    </row>
    <row r="280" spans="1:5" ht="15" customHeight="1" x14ac:dyDescent="0.35">
      <c r="A280" s="37" t="s">
        <v>69</v>
      </c>
      <c r="B280" s="448" t="s">
        <v>709</v>
      </c>
      <c r="C280" s="428"/>
      <c r="D280" s="26"/>
      <c r="E280" s="460">
        <f>SUM(E281:E284)</f>
        <v>1350.24</v>
      </c>
    </row>
    <row r="281" spans="1:5" ht="15" customHeight="1" x14ac:dyDescent="0.35">
      <c r="A281" s="47"/>
      <c r="B281" s="427" t="s">
        <v>326</v>
      </c>
      <c r="C281" s="428" t="s">
        <v>654</v>
      </c>
      <c r="D281" s="26">
        <v>2206</v>
      </c>
      <c r="E281" s="461">
        <v>1191.24</v>
      </c>
    </row>
    <row r="282" spans="1:5" ht="15" customHeight="1" x14ac:dyDescent="0.35">
      <c r="A282" s="438"/>
      <c r="B282" s="349" t="s">
        <v>730</v>
      </c>
      <c r="C282" s="28" t="s">
        <v>654</v>
      </c>
      <c r="D282" s="28">
        <v>2620</v>
      </c>
      <c r="E282" s="469">
        <v>131</v>
      </c>
    </row>
    <row r="283" spans="1:5" ht="15" customHeight="1" x14ac:dyDescent="0.35">
      <c r="A283" s="438"/>
      <c r="B283" s="436" t="s">
        <v>657</v>
      </c>
      <c r="C283" s="437" t="s">
        <v>732</v>
      </c>
      <c r="D283" s="28">
        <v>4</v>
      </c>
      <c r="E283" s="469">
        <v>12</v>
      </c>
    </row>
    <row r="284" spans="1:5" ht="15" customHeight="1" x14ac:dyDescent="0.35">
      <c r="A284" s="438"/>
      <c r="B284" s="436" t="s">
        <v>556</v>
      </c>
      <c r="C284" s="437" t="s">
        <v>735</v>
      </c>
      <c r="D284" s="28">
        <v>200</v>
      </c>
      <c r="E284" s="469">
        <v>16</v>
      </c>
    </row>
    <row r="285" spans="1:5" ht="15" customHeight="1" x14ac:dyDescent="0.35">
      <c r="A285" s="86">
        <v>5</v>
      </c>
      <c r="B285" s="51" t="s">
        <v>211</v>
      </c>
      <c r="C285" s="86"/>
      <c r="D285" s="86"/>
      <c r="E285" s="459">
        <f>SUM(E286:E294)</f>
        <v>131.6</v>
      </c>
    </row>
    <row r="286" spans="1:5" ht="15" customHeight="1" x14ac:dyDescent="0.35">
      <c r="A286" s="425" t="s">
        <v>69</v>
      </c>
      <c r="B286" s="32" t="s">
        <v>737</v>
      </c>
      <c r="C286" s="31" t="s">
        <v>670</v>
      </c>
      <c r="D286" s="31">
        <v>60</v>
      </c>
      <c r="E286" s="460">
        <v>19.2</v>
      </c>
    </row>
    <row r="287" spans="1:5" ht="15" customHeight="1" x14ac:dyDescent="0.35">
      <c r="A287" s="425" t="s">
        <v>69</v>
      </c>
      <c r="B287" s="32" t="s">
        <v>755</v>
      </c>
      <c r="C287" s="31" t="s">
        <v>670</v>
      </c>
      <c r="D287" s="31">
        <v>80</v>
      </c>
      <c r="E287" s="460">
        <v>25.6</v>
      </c>
    </row>
    <row r="288" spans="1:5" ht="15" customHeight="1" x14ac:dyDescent="0.35">
      <c r="A288" s="425" t="s">
        <v>69</v>
      </c>
      <c r="B288" s="32" t="s">
        <v>201</v>
      </c>
      <c r="C288" s="31" t="s">
        <v>654</v>
      </c>
      <c r="D288" s="31">
        <v>500</v>
      </c>
      <c r="E288" s="468">
        <v>6</v>
      </c>
    </row>
    <row r="289" spans="1:5" ht="15" customHeight="1" x14ac:dyDescent="0.35">
      <c r="A289" s="425" t="s">
        <v>69</v>
      </c>
      <c r="B289" s="32" t="s">
        <v>526</v>
      </c>
      <c r="C289" s="31" t="s">
        <v>660</v>
      </c>
      <c r="D289" s="31">
        <v>1</v>
      </c>
      <c r="E289" s="468">
        <v>15</v>
      </c>
    </row>
    <row r="290" spans="1:5" ht="15" customHeight="1" x14ac:dyDescent="0.35">
      <c r="A290" s="425" t="s">
        <v>69</v>
      </c>
      <c r="B290" s="32" t="s">
        <v>724</v>
      </c>
      <c r="C290" s="31" t="s">
        <v>660</v>
      </c>
      <c r="D290" s="31">
        <v>1</v>
      </c>
      <c r="E290" s="468">
        <v>15</v>
      </c>
    </row>
    <row r="291" spans="1:5" ht="15" customHeight="1" x14ac:dyDescent="0.35">
      <c r="A291" s="425" t="s">
        <v>69</v>
      </c>
      <c r="B291" s="32" t="s">
        <v>725</v>
      </c>
      <c r="C291" s="31" t="s">
        <v>660</v>
      </c>
      <c r="D291" s="31">
        <v>1</v>
      </c>
      <c r="E291" s="460">
        <v>2.8</v>
      </c>
    </row>
    <row r="292" spans="1:5" ht="15" customHeight="1" x14ac:dyDescent="0.35">
      <c r="A292" s="425" t="s">
        <v>69</v>
      </c>
      <c r="B292" s="421" t="s">
        <v>680</v>
      </c>
      <c r="C292" s="1" t="s">
        <v>681</v>
      </c>
      <c r="D292" s="1">
        <v>6</v>
      </c>
      <c r="E292" s="454">
        <v>6</v>
      </c>
    </row>
    <row r="293" spans="1:5" ht="15" customHeight="1" x14ac:dyDescent="0.35">
      <c r="A293" s="425" t="s">
        <v>69</v>
      </c>
      <c r="B293" s="421" t="s">
        <v>756</v>
      </c>
      <c r="C293" s="33" t="s">
        <v>732</v>
      </c>
      <c r="D293" s="33">
        <v>2</v>
      </c>
      <c r="E293" s="469">
        <v>6</v>
      </c>
    </row>
    <row r="294" spans="1:5" ht="15" customHeight="1" x14ac:dyDescent="0.35">
      <c r="A294" s="425" t="s">
        <v>69</v>
      </c>
      <c r="B294" s="32" t="s">
        <v>740</v>
      </c>
      <c r="C294" s="31" t="s">
        <v>670</v>
      </c>
      <c r="D294" s="31">
        <v>180</v>
      </c>
      <c r="E294" s="468">
        <v>36</v>
      </c>
    </row>
    <row r="295" spans="1:5" ht="15" customHeight="1" x14ac:dyDescent="0.35">
      <c r="A295" s="86">
        <v>6</v>
      </c>
      <c r="B295" s="51" t="s">
        <v>66</v>
      </c>
      <c r="C295" s="86"/>
      <c r="D295" s="86"/>
      <c r="E295" s="459">
        <f>E296</f>
        <v>86.4</v>
      </c>
    </row>
    <row r="296" spans="1:5" ht="15" customHeight="1" x14ac:dyDescent="0.35">
      <c r="A296" s="47"/>
      <c r="B296" s="32" t="s">
        <v>715</v>
      </c>
      <c r="C296" s="31" t="s">
        <v>698</v>
      </c>
      <c r="D296" s="31">
        <v>72</v>
      </c>
      <c r="E296" s="460">
        <v>86.4</v>
      </c>
    </row>
    <row r="297" spans="1:5" ht="15" customHeight="1" x14ac:dyDescent="0.35">
      <c r="A297" s="68" t="s">
        <v>65</v>
      </c>
      <c r="B297" s="432" t="s">
        <v>757</v>
      </c>
      <c r="C297" s="68"/>
      <c r="D297" s="68"/>
      <c r="E297" s="451">
        <f>E298+E305+E312+E315+E322+E330</f>
        <v>5832.5749999999998</v>
      </c>
    </row>
    <row r="298" spans="1:5" ht="15" customHeight="1" x14ac:dyDescent="0.35">
      <c r="A298" s="86">
        <v>1</v>
      </c>
      <c r="B298" s="38" t="s">
        <v>13</v>
      </c>
      <c r="C298" s="86"/>
      <c r="D298" s="86"/>
      <c r="E298" s="467">
        <f>SUM(E299:E304)</f>
        <v>2433</v>
      </c>
    </row>
    <row r="299" spans="1:5" ht="15" customHeight="1" x14ac:dyDescent="0.35">
      <c r="A299" s="425" t="s">
        <v>69</v>
      </c>
      <c r="B299" s="55" t="s">
        <v>689</v>
      </c>
      <c r="C299" s="31" t="s">
        <v>649</v>
      </c>
      <c r="D299" s="31">
        <v>2</v>
      </c>
      <c r="E299" s="468">
        <v>300</v>
      </c>
    </row>
    <row r="300" spans="1:5" ht="15" customHeight="1" x14ac:dyDescent="0.35">
      <c r="A300" s="425" t="s">
        <v>69</v>
      </c>
      <c r="B300" s="55" t="s">
        <v>742</v>
      </c>
      <c r="C300" s="31" t="s">
        <v>649</v>
      </c>
      <c r="D300" s="31">
        <v>3</v>
      </c>
      <c r="E300" s="468">
        <v>75</v>
      </c>
    </row>
    <row r="301" spans="1:5" ht="15" customHeight="1" x14ac:dyDescent="0.35">
      <c r="A301" s="425" t="s">
        <v>69</v>
      </c>
      <c r="B301" s="32" t="s">
        <v>691</v>
      </c>
      <c r="C301" s="31" t="s">
        <v>649</v>
      </c>
      <c r="D301" s="31">
        <v>13</v>
      </c>
      <c r="E301" s="468">
        <v>260</v>
      </c>
    </row>
    <row r="302" spans="1:5" ht="15" customHeight="1" x14ac:dyDescent="0.35">
      <c r="A302" s="425" t="s">
        <v>69</v>
      </c>
      <c r="B302" s="32" t="s">
        <v>692</v>
      </c>
      <c r="C302" s="31" t="s">
        <v>649</v>
      </c>
      <c r="D302" s="31">
        <v>4</v>
      </c>
      <c r="E302" s="468">
        <v>200</v>
      </c>
    </row>
    <row r="303" spans="1:5" ht="15" customHeight="1" x14ac:dyDescent="0.35">
      <c r="A303" s="425" t="s">
        <v>69</v>
      </c>
      <c r="B303" s="32" t="s">
        <v>693</v>
      </c>
      <c r="C303" s="31" t="s">
        <v>660</v>
      </c>
      <c r="D303" s="31">
        <v>66</v>
      </c>
      <c r="E303" s="468">
        <v>1188</v>
      </c>
    </row>
    <row r="304" spans="1:5" ht="15" customHeight="1" x14ac:dyDescent="0.35">
      <c r="A304" s="425" t="s">
        <v>69</v>
      </c>
      <c r="B304" s="32" t="s">
        <v>694</v>
      </c>
      <c r="C304" s="31" t="s">
        <v>660</v>
      </c>
      <c r="D304" s="31">
        <v>41</v>
      </c>
      <c r="E304" s="468">
        <v>410</v>
      </c>
    </row>
    <row r="305" spans="1:5" ht="15" customHeight="1" x14ac:dyDescent="0.35">
      <c r="A305" s="86">
        <v>2</v>
      </c>
      <c r="B305" s="51" t="s">
        <v>14</v>
      </c>
      <c r="C305" s="86"/>
      <c r="D305" s="86"/>
      <c r="E305" s="459">
        <f>SUM(E306:E311)</f>
        <v>427.8</v>
      </c>
    </row>
    <row r="306" spans="1:5" ht="15" customHeight="1" x14ac:dyDescent="0.35">
      <c r="A306" s="425" t="s">
        <v>69</v>
      </c>
      <c r="B306" s="50" t="s">
        <v>695</v>
      </c>
      <c r="C306" s="31" t="s">
        <v>651</v>
      </c>
      <c r="D306" s="31">
        <v>26</v>
      </c>
      <c r="E306" s="468">
        <v>52</v>
      </c>
    </row>
    <row r="307" spans="1:5" ht="15" customHeight="1" x14ac:dyDescent="0.35">
      <c r="A307" s="425" t="s">
        <v>69</v>
      </c>
      <c r="B307" s="50" t="s">
        <v>183</v>
      </c>
      <c r="C307" s="31" t="s">
        <v>651</v>
      </c>
      <c r="D307" s="31">
        <v>3</v>
      </c>
      <c r="E307" s="468">
        <v>30</v>
      </c>
    </row>
    <row r="308" spans="1:5" ht="15" customHeight="1" x14ac:dyDescent="0.35">
      <c r="A308" s="425" t="s">
        <v>69</v>
      </c>
      <c r="B308" s="50" t="s">
        <v>696</v>
      </c>
      <c r="C308" s="31" t="s">
        <v>653</v>
      </c>
      <c r="D308" s="31">
        <v>8</v>
      </c>
      <c r="E308" s="468">
        <v>160</v>
      </c>
    </row>
    <row r="309" spans="1:5" ht="15" customHeight="1" x14ac:dyDescent="0.35">
      <c r="A309" s="425" t="s">
        <v>69</v>
      </c>
      <c r="B309" s="50" t="s">
        <v>313</v>
      </c>
      <c r="C309" s="31" t="s">
        <v>653</v>
      </c>
      <c r="D309" s="31">
        <v>20</v>
      </c>
      <c r="E309" s="468">
        <v>60</v>
      </c>
    </row>
    <row r="310" spans="1:5" ht="15" customHeight="1" x14ac:dyDescent="0.35">
      <c r="A310" s="425" t="s">
        <v>69</v>
      </c>
      <c r="B310" s="50" t="s">
        <v>697</v>
      </c>
      <c r="C310" s="31" t="s">
        <v>698</v>
      </c>
      <c r="D310" s="31">
        <v>26</v>
      </c>
      <c r="E310" s="468">
        <v>20.8</v>
      </c>
    </row>
    <row r="311" spans="1:5" ht="15" customHeight="1" x14ac:dyDescent="0.35">
      <c r="A311" s="425" t="s">
        <v>69</v>
      </c>
      <c r="B311" s="50" t="s">
        <v>699</v>
      </c>
      <c r="C311" s="31" t="s">
        <v>700</v>
      </c>
      <c r="D311" s="31">
        <v>105</v>
      </c>
      <c r="E311" s="468">
        <v>105</v>
      </c>
    </row>
    <row r="312" spans="1:5" ht="15" customHeight="1" x14ac:dyDescent="0.35">
      <c r="A312" s="86">
        <v>3</v>
      </c>
      <c r="B312" s="51" t="s">
        <v>32</v>
      </c>
      <c r="C312" s="86"/>
      <c r="D312" s="86"/>
      <c r="E312" s="459">
        <f>E313+E314</f>
        <v>52.825000000000003</v>
      </c>
    </row>
    <row r="313" spans="1:5" ht="15" customHeight="1" x14ac:dyDescent="0.35">
      <c r="A313" s="425"/>
      <c r="B313" s="32" t="s">
        <v>702</v>
      </c>
      <c r="C313" s="31" t="s">
        <v>654</v>
      </c>
      <c r="D313" s="31">
        <v>3100</v>
      </c>
      <c r="E313" s="460">
        <v>37.200000000000003</v>
      </c>
    </row>
    <row r="314" spans="1:5" ht="15" customHeight="1" x14ac:dyDescent="0.35">
      <c r="A314" s="425"/>
      <c r="B314" s="32" t="s">
        <v>704</v>
      </c>
      <c r="C314" s="31" t="s">
        <v>654</v>
      </c>
      <c r="D314" s="31">
        <v>625</v>
      </c>
      <c r="E314" s="460">
        <v>15.625</v>
      </c>
    </row>
    <row r="315" spans="1:5" ht="15" customHeight="1" x14ac:dyDescent="0.35">
      <c r="A315" s="86">
        <v>4</v>
      </c>
      <c r="B315" s="51" t="s">
        <v>204</v>
      </c>
      <c r="C315" s="86"/>
      <c r="D315" s="86"/>
      <c r="E315" s="467">
        <f>E316+E319</f>
        <v>2712</v>
      </c>
    </row>
    <row r="316" spans="1:5" ht="15" customHeight="1" x14ac:dyDescent="0.35">
      <c r="A316" s="37" t="s">
        <v>69</v>
      </c>
      <c r="B316" s="51" t="s">
        <v>226</v>
      </c>
      <c r="C316" s="31"/>
      <c r="D316" s="31"/>
      <c r="E316" s="468">
        <v>1644</v>
      </c>
    </row>
    <row r="317" spans="1:5" ht="15" customHeight="1" x14ac:dyDescent="0.35">
      <c r="A317" s="47"/>
      <c r="B317" s="50" t="s">
        <v>710</v>
      </c>
      <c r="C317" s="31" t="s">
        <v>758</v>
      </c>
      <c r="D317" s="31" t="s">
        <v>759</v>
      </c>
      <c r="E317" s="468">
        <v>1534</v>
      </c>
    </row>
    <row r="318" spans="1:5" ht="15" customHeight="1" x14ac:dyDescent="0.35">
      <c r="A318" s="47"/>
      <c r="B318" s="429" t="s">
        <v>708</v>
      </c>
      <c r="C318" s="428" t="s">
        <v>654</v>
      </c>
      <c r="D318" s="31">
        <v>550</v>
      </c>
      <c r="E318" s="468">
        <v>110</v>
      </c>
    </row>
    <row r="319" spans="1:5" ht="15" customHeight="1" x14ac:dyDescent="0.35">
      <c r="A319" s="37" t="s">
        <v>69</v>
      </c>
      <c r="B319" s="448" t="s">
        <v>709</v>
      </c>
      <c r="C319" s="428"/>
      <c r="D319" s="31"/>
      <c r="E319" s="468">
        <v>1068</v>
      </c>
    </row>
    <row r="320" spans="1:5" ht="15" customHeight="1" x14ac:dyDescent="0.35">
      <c r="A320" s="47"/>
      <c r="B320" s="50" t="s">
        <v>710</v>
      </c>
      <c r="C320" s="31" t="s">
        <v>758</v>
      </c>
      <c r="D320" s="31" t="s">
        <v>760</v>
      </c>
      <c r="E320" s="468">
        <v>708</v>
      </c>
    </row>
    <row r="321" spans="1:5" ht="15" customHeight="1" x14ac:dyDescent="0.35">
      <c r="A321" s="47"/>
      <c r="B321" s="429" t="s">
        <v>708</v>
      </c>
      <c r="C321" s="428" t="s">
        <v>654</v>
      </c>
      <c r="D321" s="31">
        <v>1800</v>
      </c>
      <c r="E321" s="468">
        <v>360</v>
      </c>
    </row>
    <row r="322" spans="1:5" ht="15" customHeight="1" x14ac:dyDescent="0.35">
      <c r="A322" s="86">
        <v>5</v>
      </c>
      <c r="B322" s="51" t="s">
        <v>211</v>
      </c>
      <c r="C322" s="86"/>
      <c r="D322" s="86"/>
      <c r="E322" s="459">
        <f>SUM(E323:E329)</f>
        <v>67.75</v>
      </c>
    </row>
    <row r="323" spans="1:5" ht="15" customHeight="1" x14ac:dyDescent="0.35">
      <c r="A323" s="425" t="s">
        <v>69</v>
      </c>
      <c r="B323" s="32" t="s">
        <v>212</v>
      </c>
      <c r="C323" s="31" t="s">
        <v>649</v>
      </c>
      <c r="D323" s="31">
        <v>1</v>
      </c>
      <c r="E323" s="468">
        <v>10</v>
      </c>
    </row>
    <row r="324" spans="1:5" ht="15" customHeight="1" x14ac:dyDescent="0.35">
      <c r="A324" s="425" t="s">
        <v>69</v>
      </c>
      <c r="B324" s="32" t="s">
        <v>750</v>
      </c>
      <c r="C324" s="31" t="s">
        <v>670</v>
      </c>
      <c r="D324" s="31">
        <v>60</v>
      </c>
      <c r="E324" s="460">
        <v>19.2</v>
      </c>
    </row>
    <row r="325" spans="1:5" ht="15" customHeight="1" x14ac:dyDescent="0.35">
      <c r="A325" s="425" t="s">
        <v>69</v>
      </c>
      <c r="B325" s="32" t="s">
        <v>526</v>
      </c>
      <c r="C325" s="31" t="s">
        <v>660</v>
      </c>
      <c r="D325" s="31">
        <v>1</v>
      </c>
      <c r="E325" s="468">
        <v>15</v>
      </c>
    </row>
    <row r="326" spans="1:5" ht="15" customHeight="1" x14ac:dyDescent="0.35">
      <c r="A326" s="425" t="s">
        <v>69</v>
      </c>
      <c r="B326" s="32" t="s">
        <v>724</v>
      </c>
      <c r="C326" s="31" t="s">
        <v>660</v>
      </c>
      <c r="D326" s="31">
        <v>1</v>
      </c>
      <c r="E326" s="468">
        <v>15</v>
      </c>
    </row>
    <row r="327" spans="1:5" ht="15" customHeight="1" x14ac:dyDescent="0.35">
      <c r="A327" s="425" t="s">
        <v>69</v>
      </c>
      <c r="B327" s="32" t="s">
        <v>725</v>
      </c>
      <c r="C327" s="31" t="s">
        <v>660</v>
      </c>
      <c r="D327" s="31">
        <v>1</v>
      </c>
      <c r="E327" s="460">
        <v>2.8</v>
      </c>
    </row>
    <row r="328" spans="1:5" ht="15" customHeight="1" x14ac:dyDescent="0.35">
      <c r="A328" s="425" t="s">
        <v>69</v>
      </c>
      <c r="B328" s="32" t="s">
        <v>713</v>
      </c>
      <c r="C328" s="31" t="s">
        <v>660</v>
      </c>
      <c r="D328" s="31">
        <v>5</v>
      </c>
      <c r="E328" s="460">
        <v>1.75</v>
      </c>
    </row>
    <row r="329" spans="1:5" ht="15" customHeight="1" x14ac:dyDescent="0.35">
      <c r="A329" s="425" t="s">
        <v>69</v>
      </c>
      <c r="B329" s="421" t="s">
        <v>680</v>
      </c>
      <c r="C329" s="1" t="s">
        <v>681</v>
      </c>
      <c r="D329" s="1">
        <v>4</v>
      </c>
      <c r="E329" s="454">
        <v>4</v>
      </c>
    </row>
    <row r="330" spans="1:5" ht="15" customHeight="1" x14ac:dyDescent="0.35">
      <c r="A330" s="86">
        <v>6</v>
      </c>
      <c r="B330" s="51" t="s">
        <v>66</v>
      </c>
      <c r="C330" s="86"/>
      <c r="D330" s="86"/>
      <c r="E330" s="459">
        <f>E331</f>
        <v>139.19999999999999</v>
      </c>
    </row>
    <row r="331" spans="1:5" ht="15" customHeight="1" x14ac:dyDescent="0.35">
      <c r="A331" s="47"/>
      <c r="B331" s="50" t="s">
        <v>715</v>
      </c>
      <c r="C331" s="31" t="s">
        <v>698</v>
      </c>
      <c r="D331" s="31">
        <v>116</v>
      </c>
      <c r="E331" s="460">
        <v>139.19999999999999</v>
      </c>
    </row>
    <row r="332" spans="1:5" ht="15" customHeight="1" x14ac:dyDescent="0.35">
      <c r="A332" s="68" t="s">
        <v>298</v>
      </c>
      <c r="B332" s="442" t="s">
        <v>761</v>
      </c>
      <c r="C332" s="68"/>
      <c r="D332" s="68"/>
      <c r="E332" s="451">
        <f>E333+E340+E347+E350+E357+E361</f>
        <v>4393.880000000001</v>
      </c>
    </row>
    <row r="333" spans="1:5" ht="15" customHeight="1" x14ac:dyDescent="0.35">
      <c r="A333" s="86">
        <v>1</v>
      </c>
      <c r="B333" s="38" t="s">
        <v>13</v>
      </c>
      <c r="C333" s="86"/>
      <c r="D333" s="86"/>
      <c r="E333" s="467">
        <f>SUM(E334:E339)</f>
        <v>2429</v>
      </c>
    </row>
    <row r="334" spans="1:5" ht="15" customHeight="1" x14ac:dyDescent="0.35">
      <c r="A334" s="425" t="s">
        <v>69</v>
      </c>
      <c r="B334" s="55" t="s">
        <v>689</v>
      </c>
      <c r="C334" s="31" t="s">
        <v>649</v>
      </c>
      <c r="D334" s="31">
        <v>1</v>
      </c>
      <c r="E334" s="468">
        <v>150</v>
      </c>
    </row>
    <row r="335" spans="1:5" ht="15" customHeight="1" x14ac:dyDescent="0.35">
      <c r="A335" s="425" t="s">
        <v>69</v>
      </c>
      <c r="B335" s="55" t="s">
        <v>743</v>
      </c>
      <c r="C335" s="31" t="s">
        <v>649</v>
      </c>
      <c r="D335" s="31">
        <v>3</v>
      </c>
      <c r="E335" s="468">
        <v>15</v>
      </c>
    </row>
    <row r="336" spans="1:5" ht="15" customHeight="1" x14ac:dyDescent="0.35">
      <c r="A336" s="425" t="s">
        <v>69</v>
      </c>
      <c r="B336" s="32" t="s">
        <v>762</v>
      </c>
      <c r="C336" s="31" t="s">
        <v>649</v>
      </c>
      <c r="D336" s="31">
        <v>11</v>
      </c>
      <c r="E336" s="468">
        <v>220</v>
      </c>
    </row>
    <row r="337" spans="1:5" ht="15" customHeight="1" x14ac:dyDescent="0.35">
      <c r="A337" s="425" t="s">
        <v>69</v>
      </c>
      <c r="B337" s="32" t="s">
        <v>692</v>
      </c>
      <c r="C337" s="31" t="s">
        <v>649</v>
      </c>
      <c r="D337" s="31">
        <v>1</v>
      </c>
      <c r="E337" s="468">
        <v>50</v>
      </c>
    </row>
    <row r="338" spans="1:5" ht="15" customHeight="1" x14ac:dyDescent="0.35">
      <c r="A338" s="425" t="s">
        <v>69</v>
      </c>
      <c r="B338" s="32" t="s">
        <v>693</v>
      </c>
      <c r="C338" s="31" t="s">
        <v>660</v>
      </c>
      <c r="D338" s="31">
        <v>83</v>
      </c>
      <c r="E338" s="468">
        <v>1494</v>
      </c>
    </row>
    <row r="339" spans="1:5" ht="15" customHeight="1" x14ac:dyDescent="0.35">
      <c r="A339" s="425" t="s">
        <v>69</v>
      </c>
      <c r="B339" s="32" t="s">
        <v>694</v>
      </c>
      <c r="C339" s="31" t="s">
        <v>660</v>
      </c>
      <c r="D339" s="31">
        <v>50</v>
      </c>
      <c r="E339" s="468">
        <v>500</v>
      </c>
    </row>
    <row r="340" spans="1:5" ht="15" customHeight="1" x14ac:dyDescent="0.35">
      <c r="A340" s="86">
        <v>2</v>
      </c>
      <c r="B340" s="51" t="s">
        <v>14</v>
      </c>
      <c r="C340" s="86"/>
      <c r="D340" s="86"/>
      <c r="E340" s="459">
        <f>SUM(E341:E346)</f>
        <v>654.79999999999995</v>
      </c>
    </row>
    <row r="341" spans="1:5" ht="15" customHeight="1" x14ac:dyDescent="0.35">
      <c r="A341" s="425" t="s">
        <v>69</v>
      </c>
      <c r="B341" s="32" t="s">
        <v>695</v>
      </c>
      <c r="C341" s="31" t="s">
        <v>651</v>
      </c>
      <c r="D341" s="31">
        <v>40</v>
      </c>
      <c r="E341" s="468">
        <v>80</v>
      </c>
    </row>
    <row r="342" spans="1:5" ht="15" customHeight="1" x14ac:dyDescent="0.35">
      <c r="A342" s="425" t="s">
        <v>69</v>
      </c>
      <c r="B342" s="32" t="s">
        <v>183</v>
      </c>
      <c r="C342" s="31" t="s">
        <v>651</v>
      </c>
      <c r="D342" s="31">
        <v>2</v>
      </c>
      <c r="E342" s="468">
        <v>20</v>
      </c>
    </row>
    <row r="343" spans="1:5" ht="15" customHeight="1" x14ac:dyDescent="0.35">
      <c r="A343" s="425" t="s">
        <v>69</v>
      </c>
      <c r="B343" s="32" t="s">
        <v>696</v>
      </c>
      <c r="C343" s="31" t="s">
        <v>653</v>
      </c>
      <c r="D343" s="31">
        <v>11</v>
      </c>
      <c r="E343" s="468">
        <v>220</v>
      </c>
    </row>
    <row r="344" spans="1:5" ht="15" customHeight="1" x14ac:dyDescent="0.35">
      <c r="A344" s="425" t="s">
        <v>69</v>
      </c>
      <c r="B344" s="32" t="s">
        <v>313</v>
      </c>
      <c r="C344" s="31" t="s">
        <v>653</v>
      </c>
      <c r="D344" s="31">
        <v>62</v>
      </c>
      <c r="E344" s="468">
        <v>186</v>
      </c>
    </row>
    <row r="345" spans="1:5" ht="15" customHeight="1" x14ac:dyDescent="0.35">
      <c r="A345" s="425" t="s">
        <v>69</v>
      </c>
      <c r="B345" s="32" t="s">
        <v>697</v>
      </c>
      <c r="C345" s="31" t="s">
        <v>698</v>
      </c>
      <c r="D345" s="31">
        <v>36</v>
      </c>
      <c r="E345" s="468">
        <v>28.8</v>
      </c>
    </row>
    <row r="346" spans="1:5" ht="15" customHeight="1" x14ac:dyDescent="0.35">
      <c r="A346" s="425" t="s">
        <v>69</v>
      </c>
      <c r="B346" s="32" t="s">
        <v>699</v>
      </c>
      <c r="C346" s="31" t="s">
        <v>700</v>
      </c>
      <c r="D346" s="31">
        <v>120</v>
      </c>
      <c r="E346" s="468">
        <v>120</v>
      </c>
    </row>
    <row r="347" spans="1:5" ht="15" customHeight="1" x14ac:dyDescent="0.35">
      <c r="A347" s="86">
        <v>3</v>
      </c>
      <c r="B347" s="51" t="s">
        <v>32</v>
      </c>
      <c r="C347" s="86"/>
      <c r="D347" s="86"/>
      <c r="E347" s="459">
        <f>E348+E349</f>
        <v>115.23</v>
      </c>
    </row>
    <row r="348" spans="1:5" ht="15" customHeight="1" x14ac:dyDescent="0.35">
      <c r="A348" s="441"/>
      <c r="B348" s="42" t="s">
        <v>702</v>
      </c>
      <c r="C348" s="26" t="s">
        <v>654</v>
      </c>
      <c r="D348" s="26">
        <v>8290</v>
      </c>
      <c r="E348" s="462">
        <v>99.48</v>
      </c>
    </row>
    <row r="349" spans="1:5" ht="15" customHeight="1" x14ac:dyDescent="0.35">
      <c r="A349" s="441"/>
      <c r="B349" s="42" t="s">
        <v>704</v>
      </c>
      <c r="C349" s="26" t="s">
        <v>654</v>
      </c>
      <c r="D349" s="26">
        <v>630</v>
      </c>
      <c r="E349" s="462">
        <v>15.75</v>
      </c>
    </row>
    <row r="350" spans="1:5" ht="15" customHeight="1" x14ac:dyDescent="0.35">
      <c r="A350" s="97">
        <v>4</v>
      </c>
      <c r="B350" s="43" t="s">
        <v>204</v>
      </c>
      <c r="C350" s="97"/>
      <c r="D350" s="97"/>
      <c r="E350" s="463">
        <f>E351+E353</f>
        <v>1015.5</v>
      </c>
    </row>
    <row r="351" spans="1:5" ht="15" customHeight="1" x14ac:dyDescent="0.35">
      <c r="A351" s="149" t="s">
        <v>69</v>
      </c>
      <c r="B351" s="43" t="s">
        <v>226</v>
      </c>
      <c r="C351" s="26"/>
      <c r="D351" s="26"/>
      <c r="E351" s="470">
        <v>177</v>
      </c>
    </row>
    <row r="352" spans="1:5" ht="15" customHeight="1" x14ac:dyDescent="0.35">
      <c r="A352" s="98"/>
      <c r="B352" s="27" t="s">
        <v>763</v>
      </c>
      <c r="C352" s="26" t="s">
        <v>654</v>
      </c>
      <c r="D352" s="26">
        <v>300</v>
      </c>
      <c r="E352" s="470">
        <v>177</v>
      </c>
    </row>
    <row r="353" spans="1:5" ht="15" customHeight="1" x14ac:dyDescent="0.35">
      <c r="A353" s="149" t="s">
        <v>69</v>
      </c>
      <c r="B353" s="448" t="s">
        <v>709</v>
      </c>
      <c r="C353" s="428"/>
      <c r="D353" s="26"/>
      <c r="E353" s="462">
        <f>SUM(E354:E356)</f>
        <v>838.5</v>
      </c>
    </row>
    <row r="354" spans="1:5" ht="15" customHeight="1" x14ac:dyDescent="0.35">
      <c r="A354" s="98"/>
      <c r="B354" s="427" t="s">
        <v>326</v>
      </c>
      <c r="C354" s="428" t="s">
        <v>654</v>
      </c>
      <c r="D354" s="101">
        <v>200</v>
      </c>
      <c r="E354" s="470">
        <v>108</v>
      </c>
    </row>
    <row r="355" spans="1:5" ht="15" customHeight="1" x14ac:dyDescent="0.35">
      <c r="A355" s="98"/>
      <c r="B355" s="27" t="s">
        <v>764</v>
      </c>
      <c r="C355" s="26" t="s">
        <v>654</v>
      </c>
      <c r="D355" s="26">
        <v>1200</v>
      </c>
      <c r="E355" s="470">
        <v>708</v>
      </c>
    </row>
    <row r="356" spans="1:5" ht="15" customHeight="1" x14ac:dyDescent="0.35">
      <c r="A356" s="98"/>
      <c r="B356" s="27" t="s">
        <v>708</v>
      </c>
      <c r="C356" s="26" t="s">
        <v>654</v>
      </c>
      <c r="D356" s="26">
        <v>450</v>
      </c>
      <c r="E356" s="462">
        <v>22.5</v>
      </c>
    </row>
    <row r="357" spans="1:5" ht="15" customHeight="1" x14ac:dyDescent="0.35">
      <c r="A357" s="86">
        <v>5</v>
      </c>
      <c r="B357" s="51" t="s">
        <v>211</v>
      </c>
      <c r="C357" s="86"/>
      <c r="D357" s="86"/>
      <c r="E357" s="459">
        <f>SUM(E358:E360)</f>
        <v>67.75</v>
      </c>
    </row>
    <row r="358" spans="1:5" ht="15" customHeight="1" x14ac:dyDescent="0.35">
      <c r="A358" s="425" t="s">
        <v>69</v>
      </c>
      <c r="B358" s="32" t="s">
        <v>748</v>
      </c>
      <c r="C358" s="31" t="s">
        <v>660</v>
      </c>
      <c r="D358" s="31">
        <v>30</v>
      </c>
      <c r="E358" s="468">
        <v>60</v>
      </c>
    </row>
    <row r="359" spans="1:5" ht="15" customHeight="1" x14ac:dyDescent="0.35">
      <c r="A359" s="425" t="s">
        <v>69</v>
      </c>
      <c r="B359" s="32" t="s">
        <v>713</v>
      </c>
      <c r="C359" s="31" t="s">
        <v>660</v>
      </c>
      <c r="D359" s="31">
        <v>5</v>
      </c>
      <c r="E359" s="460">
        <v>1.75</v>
      </c>
    </row>
    <row r="360" spans="1:5" ht="15" customHeight="1" x14ac:dyDescent="0.35">
      <c r="A360" s="425" t="s">
        <v>69</v>
      </c>
      <c r="B360" s="421" t="s">
        <v>680</v>
      </c>
      <c r="C360" s="1" t="s">
        <v>681</v>
      </c>
      <c r="D360" s="1">
        <v>6</v>
      </c>
      <c r="E360" s="454">
        <v>6</v>
      </c>
    </row>
    <row r="361" spans="1:5" ht="15" customHeight="1" x14ac:dyDescent="0.35">
      <c r="A361" s="86">
        <v>6</v>
      </c>
      <c r="B361" s="51" t="s">
        <v>66</v>
      </c>
      <c r="C361" s="86"/>
      <c r="D361" s="86"/>
      <c r="E361" s="459">
        <f>E362</f>
        <v>111.6</v>
      </c>
    </row>
    <row r="362" spans="1:5" s="271" customFormat="1" ht="15" customHeight="1" x14ac:dyDescent="0.35">
      <c r="A362" s="31"/>
      <c r="B362" s="32" t="s">
        <v>715</v>
      </c>
      <c r="C362" s="31" t="s">
        <v>698</v>
      </c>
      <c r="D362" s="31">
        <v>93</v>
      </c>
      <c r="E362" s="460">
        <v>111.6</v>
      </c>
    </row>
    <row r="363" spans="1:5" ht="15" customHeight="1" x14ac:dyDescent="0.35">
      <c r="A363" s="68" t="s">
        <v>164</v>
      </c>
      <c r="B363" s="442" t="s">
        <v>765</v>
      </c>
      <c r="C363" s="68"/>
      <c r="D363" s="68"/>
      <c r="E363" s="451">
        <f>E364+E370+E377+E380+E391+E401+E403</f>
        <v>6178.3499999999995</v>
      </c>
    </row>
    <row r="364" spans="1:5" ht="15" customHeight="1" x14ac:dyDescent="0.35">
      <c r="A364" s="86">
        <v>1</v>
      </c>
      <c r="B364" s="38" t="s">
        <v>13</v>
      </c>
      <c r="C364" s="86"/>
      <c r="D364" s="86"/>
      <c r="E364" s="467">
        <f>SUM(E365:E369)</f>
        <v>1830</v>
      </c>
    </row>
    <row r="365" spans="1:5" ht="15" customHeight="1" x14ac:dyDescent="0.35">
      <c r="A365" s="425" t="s">
        <v>69</v>
      </c>
      <c r="B365" s="55" t="s">
        <v>689</v>
      </c>
      <c r="C365" s="31" t="s">
        <v>649</v>
      </c>
      <c r="D365" s="31">
        <v>2</v>
      </c>
      <c r="E365" s="468">
        <v>300</v>
      </c>
    </row>
    <row r="366" spans="1:5" ht="15" customHeight="1" x14ac:dyDescent="0.35">
      <c r="A366" s="425" t="s">
        <v>69</v>
      </c>
      <c r="B366" s="32" t="s">
        <v>691</v>
      </c>
      <c r="C366" s="31" t="s">
        <v>649</v>
      </c>
      <c r="D366" s="31">
        <v>14</v>
      </c>
      <c r="E366" s="468">
        <v>280</v>
      </c>
    </row>
    <row r="367" spans="1:5" ht="15" customHeight="1" x14ac:dyDescent="0.35">
      <c r="A367" s="425" t="s">
        <v>69</v>
      </c>
      <c r="B367" s="32" t="s">
        <v>692</v>
      </c>
      <c r="C367" s="31" t="s">
        <v>649</v>
      </c>
      <c r="D367" s="31">
        <v>2</v>
      </c>
      <c r="E367" s="468">
        <v>100</v>
      </c>
    </row>
    <row r="368" spans="1:5" ht="15" customHeight="1" x14ac:dyDescent="0.35">
      <c r="A368" s="425" t="s">
        <v>69</v>
      </c>
      <c r="B368" s="32" t="s">
        <v>693</v>
      </c>
      <c r="C368" s="31" t="s">
        <v>660</v>
      </c>
      <c r="D368" s="31">
        <v>45</v>
      </c>
      <c r="E368" s="468">
        <v>810</v>
      </c>
    </row>
    <row r="369" spans="1:5" ht="15" customHeight="1" x14ac:dyDescent="0.35">
      <c r="A369" s="425" t="s">
        <v>69</v>
      </c>
      <c r="B369" s="32" t="s">
        <v>694</v>
      </c>
      <c r="C369" s="31" t="s">
        <v>660</v>
      </c>
      <c r="D369" s="31">
        <v>34</v>
      </c>
      <c r="E369" s="468">
        <v>340</v>
      </c>
    </row>
    <row r="370" spans="1:5" ht="15" customHeight="1" x14ac:dyDescent="0.35">
      <c r="A370" s="86">
        <v>2</v>
      </c>
      <c r="B370" s="51" t="s">
        <v>14</v>
      </c>
      <c r="C370" s="86"/>
      <c r="D370" s="86"/>
      <c r="E370" s="459">
        <f>SUM(E371:E376)</f>
        <v>406.2</v>
      </c>
    </row>
    <row r="371" spans="1:5" ht="15" customHeight="1" x14ac:dyDescent="0.35">
      <c r="A371" s="425" t="s">
        <v>69</v>
      </c>
      <c r="B371" s="32" t="s">
        <v>695</v>
      </c>
      <c r="C371" s="31" t="s">
        <v>651</v>
      </c>
      <c r="D371" s="31">
        <v>45</v>
      </c>
      <c r="E371" s="468">
        <v>90</v>
      </c>
    </row>
    <row r="372" spans="1:5" ht="15" customHeight="1" x14ac:dyDescent="0.35">
      <c r="A372" s="425" t="s">
        <v>69</v>
      </c>
      <c r="B372" s="32" t="s">
        <v>183</v>
      </c>
      <c r="C372" s="31" t="s">
        <v>651</v>
      </c>
      <c r="D372" s="31">
        <v>4</v>
      </c>
      <c r="E372" s="468">
        <v>40</v>
      </c>
    </row>
    <row r="373" spans="1:5" ht="15" customHeight="1" x14ac:dyDescent="0.35">
      <c r="A373" s="425" t="s">
        <v>69</v>
      </c>
      <c r="B373" s="32" t="s">
        <v>696</v>
      </c>
      <c r="C373" s="31" t="s">
        <v>653</v>
      </c>
      <c r="D373" s="31">
        <v>10</v>
      </c>
      <c r="E373" s="468">
        <v>200</v>
      </c>
    </row>
    <row r="374" spans="1:5" ht="15" customHeight="1" x14ac:dyDescent="0.35">
      <c r="A374" s="425" t="s">
        <v>69</v>
      </c>
      <c r="B374" s="32" t="s">
        <v>313</v>
      </c>
      <c r="C374" s="31" t="s">
        <v>653</v>
      </c>
      <c r="D374" s="31">
        <v>2</v>
      </c>
      <c r="E374" s="468">
        <v>6</v>
      </c>
    </row>
    <row r="375" spans="1:5" ht="15" customHeight="1" x14ac:dyDescent="0.35">
      <c r="A375" s="425" t="s">
        <v>69</v>
      </c>
      <c r="B375" s="32" t="s">
        <v>697</v>
      </c>
      <c r="C375" s="31" t="s">
        <v>698</v>
      </c>
      <c r="D375" s="31">
        <v>39</v>
      </c>
      <c r="E375" s="460">
        <v>31.2</v>
      </c>
    </row>
    <row r="376" spans="1:5" ht="15" customHeight="1" x14ac:dyDescent="0.35">
      <c r="A376" s="425" t="s">
        <v>69</v>
      </c>
      <c r="B376" s="32" t="s">
        <v>699</v>
      </c>
      <c r="C376" s="31" t="s">
        <v>700</v>
      </c>
      <c r="D376" s="31">
        <v>39</v>
      </c>
      <c r="E376" s="468">
        <v>39</v>
      </c>
    </row>
    <row r="377" spans="1:5" ht="15" customHeight="1" x14ac:dyDescent="0.35">
      <c r="A377" s="86">
        <v>3</v>
      </c>
      <c r="B377" s="51" t="s">
        <v>32</v>
      </c>
      <c r="C377" s="86"/>
      <c r="D377" s="86"/>
      <c r="E377" s="459">
        <f>E378+E379</f>
        <v>83.3</v>
      </c>
    </row>
    <row r="378" spans="1:5" ht="15" customHeight="1" x14ac:dyDescent="0.35">
      <c r="A378" s="37"/>
      <c r="B378" s="278" t="s">
        <v>702</v>
      </c>
      <c r="C378" s="240" t="s">
        <v>654</v>
      </c>
      <c r="D378" s="31">
        <v>5900</v>
      </c>
      <c r="E378" s="460">
        <v>70.8</v>
      </c>
    </row>
    <row r="379" spans="1:5" ht="15" customHeight="1" x14ac:dyDescent="0.35">
      <c r="A379" s="37"/>
      <c r="B379" s="278" t="s">
        <v>704</v>
      </c>
      <c r="C379" s="240" t="s">
        <v>654</v>
      </c>
      <c r="D379" s="31">
        <v>500</v>
      </c>
      <c r="E379" s="460">
        <v>12.5</v>
      </c>
    </row>
    <row r="380" spans="1:5" ht="15" customHeight="1" x14ac:dyDescent="0.35">
      <c r="A380" s="86">
        <v>4</v>
      </c>
      <c r="B380" s="51" t="s">
        <v>204</v>
      </c>
      <c r="C380" s="86"/>
      <c r="D380" s="86"/>
      <c r="E380" s="467">
        <f>E381+E386</f>
        <v>3616</v>
      </c>
    </row>
    <row r="381" spans="1:5" ht="15" customHeight="1" x14ac:dyDescent="0.35">
      <c r="A381" s="37" t="s">
        <v>69</v>
      </c>
      <c r="B381" s="51" t="s">
        <v>226</v>
      </c>
      <c r="C381" s="31"/>
      <c r="D381" s="31"/>
      <c r="E381" s="468">
        <f>SUM(E382:E385)</f>
        <v>1742</v>
      </c>
    </row>
    <row r="382" spans="1:5" ht="15" customHeight="1" x14ac:dyDescent="0.35">
      <c r="A382" s="47"/>
      <c r="B382" s="32" t="s">
        <v>705</v>
      </c>
      <c r="C382" s="31" t="s">
        <v>654</v>
      </c>
      <c r="D382" s="31">
        <v>1600</v>
      </c>
      <c r="E382" s="468">
        <v>720</v>
      </c>
    </row>
    <row r="383" spans="1:5" ht="15" customHeight="1" x14ac:dyDescent="0.35">
      <c r="A383" s="47"/>
      <c r="B383" s="32" t="s">
        <v>706</v>
      </c>
      <c r="C383" s="31" t="s">
        <v>654</v>
      </c>
      <c r="D383" s="31">
        <v>800</v>
      </c>
      <c r="E383" s="468">
        <v>312</v>
      </c>
    </row>
    <row r="384" spans="1:5" ht="15" customHeight="1" x14ac:dyDescent="0.35">
      <c r="A384" s="47"/>
      <c r="B384" s="32" t="s">
        <v>707</v>
      </c>
      <c r="C384" s="31" t="s">
        <v>654</v>
      </c>
      <c r="D384" s="31">
        <v>3000</v>
      </c>
      <c r="E384" s="468">
        <v>150</v>
      </c>
    </row>
    <row r="385" spans="1:5" ht="15" customHeight="1" x14ac:dyDescent="0.35">
      <c r="A385" s="47"/>
      <c r="B385" s="427" t="s">
        <v>708</v>
      </c>
      <c r="C385" s="428" t="s">
        <v>654</v>
      </c>
      <c r="D385" s="31">
        <v>2800</v>
      </c>
      <c r="E385" s="468">
        <v>560</v>
      </c>
    </row>
    <row r="386" spans="1:5" ht="15" customHeight="1" x14ac:dyDescent="0.35">
      <c r="A386" s="37" t="s">
        <v>69</v>
      </c>
      <c r="B386" s="448" t="s">
        <v>709</v>
      </c>
      <c r="C386" s="428"/>
      <c r="D386" s="31"/>
      <c r="E386" s="468">
        <f>SUM(E387:E390)</f>
        <v>1874</v>
      </c>
    </row>
    <row r="387" spans="1:5" ht="15" customHeight="1" x14ac:dyDescent="0.35">
      <c r="A387" s="47"/>
      <c r="B387" s="32" t="s">
        <v>705</v>
      </c>
      <c r="C387" s="31" t="s">
        <v>654</v>
      </c>
      <c r="D387" s="31">
        <v>2600</v>
      </c>
      <c r="E387" s="468">
        <v>1170</v>
      </c>
    </row>
    <row r="388" spans="1:5" ht="15" customHeight="1" x14ac:dyDescent="0.35">
      <c r="A388" s="47"/>
      <c r="B388" s="32" t="s">
        <v>710</v>
      </c>
      <c r="C388" s="31" t="s">
        <v>654</v>
      </c>
      <c r="D388" s="31">
        <v>100</v>
      </c>
      <c r="E388" s="468">
        <v>59</v>
      </c>
    </row>
    <row r="389" spans="1:5" ht="15" customHeight="1" x14ac:dyDescent="0.35">
      <c r="A389" s="47"/>
      <c r="B389" s="32" t="s">
        <v>711</v>
      </c>
      <c r="C389" s="31" t="s">
        <v>654</v>
      </c>
      <c r="D389" s="31">
        <v>2500</v>
      </c>
      <c r="E389" s="468">
        <v>125</v>
      </c>
    </row>
    <row r="390" spans="1:5" ht="15" customHeight="1" x14ac:dyDescent="0.35">
      <c r="A390" s="47"/>
      <c r="B390" s="427" t="s">
        <v>708</v>
      </c>
      <c r="C390" s="428" t="s">
        <v>654</v>
      </c>
      <c r="D390" s="31">
        <v>2600</v>
      </c>
      <c r="E390" s="468">
        <v>520</v>
      </c>
    </row>
    <row r="391" spans="1:5" ht="15" customHeight="1" x14ac:dyDescent="0.35">
      <c r="A391" s="86">
        <v>5</v>
      </c>
      <c r="B391" s="51" t="s">
        <v>211</v>
      </c>
      <c r="C391" s="86"/>
      <c r="D391" s="86"/>
      <c r="E391" s="459">
        <f>SUM(E392:E400)</f>
        <v>121.65</v>
      </c>
    </row>
    <row r="392" spans="1:5" ht="15" customHeight="1" x14ac:dyDescent="0.35">
      <c r="A392" s="425" t="s">
        <v>69</v>
      </c>
      <c r="B392" s="32" t="s">
        <v>212</v>
      </c>
      <c r="C392" s="31" t="s">
        <v>649</v>
      </c>
      <c r="D392" s="31">
        <v>1</v>
      </c>
      <c r="E392" s="468">
        <v>10</v>
      </c>
    </row>
    <row r="393" spans="1:5" ht="15" customHeight="1" x14ac:dyDescent="0.35">
      <c r="A393" s="425" t="s">
        <v>69</v>
      </c>
      <c r="B393" s="32" t="s">
        <v>201</v>
      </c>
      <c r="C393" s="31" t="s">
        <v>654</v>
      </c>
      <c r="D393" s="31">
        <v>200</v>
      </c>
      <c r="E393" s="460">
        <v>2.4</v>
      </c>
    </row>
    <row r="394" spans="1:5" ht="15" customHeight="1" x14ac:dyDescent="0.35">
      <c r="A394" s="425" t="s">
        <v>69</v>
      </c>
      <c r="B394" s="32" t="s">
        <v>766</v>
      </c>
      <c r="C394" s="31" t="s">
        <v>670</v>
      </c>
      <c r="D394" s="31">
        <v>180</v>
      </c>
      <c r="E394" s="468">
        <v>36</v>
      </c>
    </row>
    <row r="395" spans="1:5" ht="15" customHeight="1" x14ac:dyDescent="0.35">
      <c r="A395" s="425" t="s">
        <v>69</v>
      </c>
      <c r="B395" s="32" t="s">
        <v>526</v>
      </c>
      <c r="C395" s="31" t="s">
        <v>767</v>
      </c>
      <c r="D395" s="31">
        <v>1</v>
      </c>
      <c r="E395" s="468">
        <v>15</v>
      </c>
    </row>
    <row r="396" spans="1:5" ht="15" customHeight="1" x14ac:dyDescent="0.35">
      <c r="A396" s="425" t="s">
        <v>69</v>
      </c>
      <c r="B396" s="32" t="s">
        <v>724</v>
      </c>
      <c r="C396" s="31" t="s">
        <v>683</v>
      </c>
      <c r="D396" s="31">
        <v>1</v>
      </c>
      <c r="E396" s="468">
        <v>15</v>
      </c>
    </row>
    <row r="397" spans="1:5" ht="15" customHeight="1" x14ac:dyDescent="0.35">
      <c r="A397" s="425" t="s">
        <v>69</v>
      </c>
      <c r="B397" s="32" t="s">
        <v>768</v>
      </c>
      <c r="C397" s="31" t="s">
        <v>683</v>
      </c>
      <c r="D397" s="31">
        <v>1</v>
      </c>
      <c r="E397" s="460">
        <v>1.5</v>
      </c>
    </row>
    <row r="398" spans="1:5" ht="15" customHeight="1" x14ac:dyDescent="0.35">
      <c r="A398" s="425" t="s">
        <v>69</v>
      </c>
      <c r="B398" s="32" t="s">
        <v>713</v>
      </c>
      <c r="C398" s="31" t="s">
        <v>660</v>
      </c>
      <c r="D398" s="31">
        <v>5</v>
      </c>
      <c r="E398" s="460">
        <v>1.75</v>
      </c>
    </row>
    <row r="399" spans="1:5" ht="15" customHeight="1" x14ac:dyDescent="0.35">
      <c r="A399" s="425" t="s">
        <v>69</v>
      </c>
      <c r="B399" s="421" t="s">
        <v>680</v>
      </c>
      <c r="C399" s="1" t="s">
        <v>681</v>
      </c>
      <c r="D399" s="1">
        <v>4</v>
      </c>
      <c r="E399" s="454">
        <v>4</v>
      </c>
    </row>
    <row r="400" spans="1:5" ht="15" customHeight="1" x14ac:dyDescent="0.35">
      <c r="A400" s="425" t="s">
        <v>69</v>
      </c>
      <c r="B400" s="32" t="s">
        <v>769</v>
      </c>
      <c r="C400" s="31" t="s">
        <v>670</v>
      </c>
      <c r="D400" s="31">
        <v>180</v>
      </c>
      <c r="E400" s="468">
        <v>36</v>
      </c>
    </row>
    <row r="401" spans="1:5" ht="15" customHeight="1" x14ac:dyDescent="0.35">
      <c r="A401" s="86">
        <v>6</v>
      </c>
      <c r="B401" s="51" t="s">
        <v>61</v>
      </c>
      <c r="C401" s="86"/>
      <c r="D401" s="86"/>
      <c r="E401" s="467">
        <f>E402</f>
        <v>90</v>
      </c>
    </row>
    <row r="402" spans="1:5" ht="15" customHeight="1" x14ac:dyDescent="0.35">
      <c r="A402" s="47"/>
      <c r="B402" s="32" t="s">
        <v>770</v>
      </c>
      <c r="C402" s="31" t="s">
        <v>654</v>
      </c>
      <c r="D402" s="31">
        <v>3000</v>
      </c>
      <c r="E402" s="468">
        <v>90</v>
      </c>
    </row>
    <row r="403" spans="1:5" ht="15" customHeight="1" x14ac:dyDescent="0.35">
      <c r="A403" s="86">
        <v>7</v>
      </c>
      <c r="B403" s="51" t="s">
        <v>66</v>
      </c>
      <c r="C403" s="86"/>
      <c r="D403" s="86"/>
      <c r="E403" s="459">
        <f>E404</f>
        <v>31.2</v>
      </c>
    </row>
    <row r="404" spans="1:5" ht="15" customHeight="1" x14ac:dyDescent="0.35">
      <c r="A404" s="47"/>
      <c r="B404" s="50" t="s">
        <v>715</v>
      </c>
      <c r="C404" s="31" t="s">
        <v>698</v>
      </c>
      <c r="D404" s="31">
        <v>26</v>
      </c>
      <c r="E404" s="460">
        <v>31.2</v>
      </c>
    </row>
  </sheetData>
  <mergeCells count="7">
    <mergeCell ref="D2:E2"/>
    <mergeCell ref="A1:E1"/>
    <mergeCell ref="A3:A4"/>
    <mergeCell ref="B3:B4"/>
    <mergeCell ref="C3:C4"/>
    <mergeCell ref="D3:D4"/>
    <mergeCell ref="E3:E4"/>
  </mergeCells>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8"/>
  <sheetViews>
    <sheetView topLeftCell="A117" zoomScale="130" zoomScaleNormal="130" workbookViewId="0">
      <selection activeCell="G131" sqref="G131"/>
    </sheetView>
  </sheetViews>
  <sheetFormatPr defaultColWidth="9.1796875" defaultRowHeight="15.5" x14ac:dyDescent="0.35"/>
  <cols>
    <col min="1" max="1" width="4.7265625" style="2" customWidth="1"/>
    <col min="2" max="2" width="44.26953125" style="5" customWidth="1"/>
    <col min="3" max="3" width="13.54296875" style="2" customWidth="1"/>
    <col min="4" max="4" width="13.1796875" style="5" customWidth="1"/>
    <col min="5" max="5" width="16" style="193" customWidth="1"/>
    <col min="6" max="11" width="9.1796875" style="46"/>
    <col min="12" max="16384" width="9.1796875" style="2"/>
  </cols>
  <sheetData>
    <row r="1" spans="1:11" ht="42.75" customHeight="1" x14ac:dyDescent="0.35">
      <c r="A1" s="593" t="s">
        <v>814</v>
      </c>
      <c r="B1" s="593"/>
      <c r="C1" s="593"/>
      <c r="D1" s="593"/>
      <c r="E1" s="593"/>
    </row>
    <row r="2" spans="1:11" x14ac:dyDescent="0.35">
      <c r="D2" s="594" t="s">
        <v>6</v>
      </c>
      <c r="E2" s="594"/>
    </row>
    <row r="3" spans="1:11" s="71" customFormat="1" ht="28" customHeight="1" x14ac:dyDescent="0.35">
      <c r="A3" s="580" t="s">
        <v>0</v>
      </c>
      <c r="B3" s="580" t="s">
        <v>1</v>
      </c>
      <c r="C3" s="598" t="s">
        <v>645</v>
      </c>
      <c r="D3" s="580" t="s">
        <v>12</v>
      </c>
      <c r="E3" s="596" t="s">
        <v>9</v>
      </c>
      <c r="F3" s="553"/>
      <c r="G3" s="553"/>
      <c r="H3" s="553"/>
      <c r="I3" s="553"/>
      <c r="J3" s="553"/>
      <c r="K3" s="553"/>
    </row>
    <row r="4" spans="1:11" s="71" customFormat="1" ht="27" customHeight="1" x14ac:dyDescent="0.35">
      <c r="A4" s="580"/>
      <c r="B4" s="580"/>
      <c r="C4" s="599"/>
      <c r="D4" s="580"/>
      <c r="E4" s="597"/>
      <c r="F4" s="553"/>
      <c r="G4" s="553"/>
      <c r="H4" s="553"/>
      <c r="I4" s="553"/>
      <c r="J4" s="553"/>
      <c r="K4" s="553"/>
    </row>
    <row r="5" spans="1:11" s="71" customFormat="1" ht="18.649999999999999" customHeight="1" x14ac:dyDescent="0.35">
      <c r="A5" s="74" t="s">
        <v>16</v>
      </c>
      <c r="B5" s="38" t="s">
        <v>311</v>
      </c>
      <c r="C5" s="86"/>
      <c r="D5" s="74"/>
      <c r="E5" s="154">
        <f>E6+E29+E41+E61+E96</f>
        <v>3852.75</v>
      </c>
      <c r="F5" s="553"/>
      <c r="G5" s="553"/>
      <c r="H5" s="553"/>
      <c r="I5" s="553"/>
      <c r="J5" s="553"/>
      <c r="K5" s="553"/>
    </row>
    <row r="6" spans="1:11" s="71" customFormat="1" ht="18.649999999999999" customHeight="1" x14ac:dyDescent="0.35">
      <c r="A6" s="68" t="s">
        <v>7</v>
      </c>
      <c r="B6" s="69" t="s">
        <v>77</v>
      </c>
      <c r="C6" s="68"/>
      <c r="D6" s="68"/>
      <c r="E6" s="550">
        <f>E7+E13+E16+E20+E23+E25+E27</f>
        <v>468.9</v>
      </c>
      <c r="F6" s="553"/>
      <c r="G6" s="553"/>
      <c r="H6" s="553"/>
      <c r="I6" s="553"/>
      <c r="J6" s="553"/>
      <c r="K6" s="553"/>
    </row>
    <row r="7" spans="1:11" s="71" customFormat="1" ht="18.649999999999999" customHeight="1" x14ac:dyDescent="0.35">
      <c r="A7" s="534">
        <v>1</v>
      </c>
      <c r="B7" s="38" t="s">
        <v>13</v>
      </c>
      <c r="C7" s="534"/>
      <c r="D7" s="534"/>
      <c r="E7" s="197">
        <f>SUM(E8:E9)</f>
        <v>340</v>
      </c>
      <c r="F7" s="553"/>
      <c r="G7" s="553"/>
      <c r="H7" s="553"/>
      <c r="I7" s="553"/>
      <c r="J7" s="553"/>
      <c r="K7" s="553"/>
    </row>
    <row r="8" spans="1:11" s="71" customFormat="1" ht="18.649999999999999" customHeight="1" x14ac:dyDescent="0.35">
      <c r="A8" s="31"/>
      <c r="B8" s="32" t="s">
        <v>193</v>
      </c>
      <c r="C8" s="31" t="s">
        <v>767</v>
      </c>
      <c r="D8" s="31">
        <v>1</v>
      </c>
      <c r="E8" s="202">
        <v>30</v>
      </c>
      <c r="F8" s="553"/>
      <c r="G8" s="553"/>
      <c r="H8" s="553"/>
      <c r="I8" s="553"/>
      <c r="J8" s="553"/>
      <c r="K8" s="553"/>
    </row>
    <row r="9" spans="1:11" s="530" customFormat="1" ht="18.649999999999999" customHeight="1" x14ac:dyDescent="0.35">
      <c r="A9" s="31"/>
      <c r="B9" s="32" t="s">
        <v>21</v>
      </c>
      <c r="C9" s="31"/>
      <c r="D9" s="31"/>
      <c r="E9" s="202">
        <f>SUM(E10:E12)</f>
        <v>310</v>
      </c>
      <c r="F9" s="553"/>
      <c r="G9" s="553"/>
      <c r="H9" s="553"/>
      <c r="I9" s="553"/>
      <c r="J9" s="553"/>
      <c r="K9" s="553"/>
    </row>
    <row r="10" spans="1:11" s="71" customFormat="1" ht="18.649999999999999" customHeight="1" x14ac:dyDescent="0.35">
      <c r="A10" s="47" t="s">
        <v>69</v>
      </c>
      <c r="B10" s="50" t="s">
        <v>23</v>
      </c>
      <c r="C10" s="47" t="s">
        <v>767</v>
      </c>
      <c r="D10" s="31">
        <v>14</v>
      </c>
      <c r="E10" s="202">
        <v>140</v>
      </c>
      <c r="F10" s="553"/>
      <c r="G10" s="553"/>
      <c r="H10" s="553"/>
      <c r="I10" s="553"/>
      <c r="J10" s="553"/>
      <c r="K10" s="553"/>
    </row>
    <row r="11" spans="1:11" s="71" customFormat="1" ht="18.649999999999999" customHeight="1" x14ac:dyDescent="0.35">
      <c r="A11" s="47" t="s">
        <v>69</v>
      </c>
      <c r="B11" s="50" t="s">
        <v>24</v>
      </c>
      <c r="C11" s="47" t="s">
        <v>767</v>
      </c>
      <c r="D11" s="31">
        <v>5</v>
      </c>
      <c r="E11" s="202">
        <v>50</v>
      </c>
      <c r="F11" s="553"/>
      <c r="G11" s="553"/>
      <c r="H11" s="553"/>
      <c r="I11" s="553"/>
      <c r="J11" s="553"/>
      <c r="K11" s="553"/>
    </row>
    <row r="12" spans="1:11" s="71" customFormat="1" ht="18.649999999999999" customHeight="1" x14ac:dyDescent="0.35">
      <c r="A12" s="47" t="s">
        <v>69</v>
      </c>
      <c r="B12" s="50" t="s">
        <v>25</v>
      </c>
      <c r="C12" s="47" t="s">
        <v>767</v>
      </c>
      <c r="D12" s="31">
        <v>12</v>
      </c>
      <c r="E12" s="202">
        <v>120</v>
      </c>
      <c r="F12" s="553"/>
      <c r="G12" s="553"/>
      <c r="H12" s="553"/>
      <c r="I12" s="553"/>
      <c r="J12" s="553"/>
      <c r="K12" s="553"/>
    </row>
    <row r="13" spans="1:11" s="71" customFormat="1" ht="18.649999999999999" customHeight="1" x14ac:dyDescent="0.35">
      <c r="A13" s="534">
        <v>2</v>
      </c>
      <c r="B13" s="51" t="s">
        <v>14</v>
      </c>
      <c r="C13" s="534"/>
      <c r="D13" s="534"/>
      <c r="E13" s="197">
        <f>SUM(E14:E15)</f>
        <v>50</v>
      </c>
      <c r="F13" s="553"/>
      <c r="G13" s="553"/>
      <c r="H13" s="553"/>
      <c r="I13" s="553"/>
      <c r="J13" s="553"/>
      <c r="K13" s="553"/>
    </row>
    <row r="14" spans="1:11" s="71" customFormat="1" ht="18.649999999999999" customHeight="1" x14ac:dyDescent="0.35">
      <c r="A14" s="37" t="s">
        <v>69</v>
      </c>
      <c r="B14" s="32" t="s">
        <v>312</v>
      </c>
      <c r="C14" s="31" t="s">
        <v>790</v>
      </c>
      <c r="D14" s="37">
        <v>2</v>
      </c>
      <c r="E14" s="202">
        <v>20</v>
      </c>
      <c r="F14" s="553"/>
      <c r="G14" s="553"/>
      <c r="H14" s="553"/>
      <c r="I14" s="553"/>
      <c r="J14" s="553"/>
      <c r="K14" s="553"/>
    </row>
    <row r="15" spans="1:11" s="71" customFormat="1" ht="18.649999999999999" customHeight="1" x14ac:dyDescent="0.35">
      <c r="A15" s="534" t="s">
        <v>69</v>
      </c>
      <c r="B15" s="32" t="s">
        <v>319</v>
      </c>
      <c r="C15" s="31" t="s">
        <v>790</v>
      </c>
      <c r="D15" s="37">
        <v>12</v>
      </c>
      <c r="E15" s="202">
        <v>30</v>
      </c>
      <c r="F15" s="553"/>
      <c r="G15" s="553"/>
      <c r="H15" s="553"/>
      <c r="I15" s="553"/>
      <c r="J15" s="553"/>
      <c r="K15" s="553"/>
    </row>
    <row r="16" spans="1:11" s="71" customFormat="1" ht="18.649999999999999" customHeight="1" x14ac:dyDescent="0.35">
      <c r="A16" s="534">
        <v>3</v>
      </c>
      <c r="B16" s="51" t="s">
        <v>32</v>
      </c>
      <c r="C16" s="534"/>
      <c r="D16" s="534"/>
      <c r="E16" s="192">
        <f>SUM(E17:E19)</f>
        <v>13.5</v>
      </c>
      <c r="F16" s="553"/>
      <c r="G16" s="553"/>
      <c r="H16" s="553"/>
      <c r="I16" s="553"/>
      <c r="J16" s="553"/>
      <c r="K16" s="553"/>
    </row>
    <row r="17" spans="1:11" s="71" customFormat="1" ht="18.649999999999999" customHeight="1" x14ac:dyDescent="0.35">
      <c r="A17" s="173" t="s">
        <v>69</v>
      </c>
      <c r="B17" s="175" t="s">
        <v>320</v>
      </c>
      <c r="C17" s="162" t="s">
        <v>654</v>
      </c>
      <c r="D17" s="362">
        <v>650</v>
      </c>
      <c r="E17" s="189">
        <v>6.5</v>
      </c>
      <c r="F17" s="553"/>
      <c r="G17" s="553"/>
      <c r="H17" s="553"/>
      <c r="I17" s="553"/>
      <c r="J17" s="553"/>
      <c r="K17" s="553"/>
    </row>
    <row r="18" spans="1:11" s="71" customFormat="1" ht="18.649999999999999" customHeight="1" x14ac:dyDescent="0.35">
      <c r="A18" s="173" t="s">
        <v>69</v>
      </c>
      <c r="B18" s="175" t="s">
        <v>315</v>
      </c>
      <c r="C18" s="162" t="s">
        <v>739</v>
      </c>
      <c r="D18" s="31">
        <v>40</v>
      </c>
      <c r="E18" s="189">
        <v>4</v>
      </c>
      <c r="F18" s="553"/>
      <c r="G18" s="553"/>
      <c r="H18" s="553"/>
      <c r="I18" s="553"/>
      <c r="J18" s="553"/>
      <c r="K18" s="553"/>
    </row>
    <row r="19" spans="1:11" s="71" customFormat="1" ht="18.649999999999999" customHeight="1" x14ac:dyDescent="0.35">
      <c r="A19" s="173" t="s">
        <v>69</v>
      </c>
      <c r="B19" s="175" t="s">
        <v>316</v>
      </c>
      <c r="C19" s="162" t="s">
        <v>844</v>
      </c>
      <c r="D19" s="31">
        <v>10</v>
      </c>
      <c r="E19" s="189">
        <v>3</v>
      </c>
      <c r="F19" s="553"/>
      <c r="G19" s="553"/>
      <c r="H19" s="553"/>
      <c r="I19" s="553"/>
      <c r="J19" s="553"/>
      <c r="K19" s="553"/>
    </row>
    <row r="20" spans="1:11" s="71" customFormat="1" ht="18.649999999999999" customHeight="1" x14ac:dyDescent="0.35">
      <c r="A20" s="205">
        <v>4</v>
      </c>
      <c r="B20" s="174" t="s">
        <v>204</v>
      </c>
      <c r="C20" s="161"/>
      <c r="D20" s="534"/>
      <c r="E20" s="192">
        <f>E21</f>
        <v>20</v>
      </c>
      <c r="F20" s="553"/>
      <c r="G20" s="553"/>
      <c r="H20" s="553"/>
      <c r="I20" s="553"/>
      <c r="J20" s="553"/>
      <c r="K20" s="553"/>
    </row>
    <row r="21" spans="1:11" s="71" customFormat="1" ht="18.649999999999999" customHeight="1" x14ac:dyDescent="0.35">
      <c r="A21" s="206"/>
      <c r="B21" s="207" t="s">
        <v>230</v>
      </c>
      <c r="C21" s="206"/>
      <c r="D21" s="31"/>
      <c r="E21" s="189">
        <f>SUM(E22:E22)</f>
        <v>20</v>
      </c>
      <c r="F21" s="553"/>
      <c r="G21" s="553"/>
      <c r="H21" s="553"/>
      <c r="I21" s="553"/>
      <c r="J21" s="553"/>
      <c r="K21" s="553"/>
    </row>
    <row r="22" spans="1:11" s="71" customFormat="1" ht="18.649999999999999" customHeight="1" x14ac:dyDescent="0.35">
      <c r="A22" s="173" t="s">
        <v>69</v>
      </c>
      <c r="B22" s="175" t="s">
        <v>845</v>
      </c>
      <c r="C22" s="162" t="s">
        <v>654</v>
      </c>
      <c r="D22" s="31">
        <v>400</v>
      </c>
      <c r="E22" s="189">
        <v>20</v>
      </c>
      <c r="F22" s="553"/>
      <c r="G22" s="553"/>
      <c r="H22" s="553"/>
      <c r="I22" s="553"/>
      <c r="J22" s="553"/>
      <c r="K22" s="553"/>
    </row>
    <row r="23" spans="1:11" s="71" customFormat="1" ht="19.5" customHeight="1" x14ac:dyDescent="0.35">
      <c r="A23" s="205">
        <v>5</v>
      </c>
      <c r="B23" s="208" t="s">
        <v>211</v>
      </c>
      <c r="C23" s="161"/>
      <c r="D23" s="534"/>
      <c r="E23" s="192">
        <f>E24</f>
        <v>14</v>
      </c>
      <c r="F23" s="553"/>
      <c r="G23" s="553"/>
      <c r="H23" s="553"/>
      <c r="I23" s="553"/>
      <c r="J23" s="553"/>
      <c r="K23" s="553"/>
    </row>
    <row r="24" spans="1:11" s="71" customFormat="1" ht="18.649999999999999" customHeight="1" x14ac:dyDescent="0.35">
      <c r="A24" s="209" t="s">
        <v>69</v>
      </c>
      <c r="B24" s="175" t="s">
        <v>321</v>
      </c>
      <c r="C24" s="162" t="s">
        <v>683</v>
      </c>
      <c r="D24" s="31">
        <v>1</v>
      </c>
      <c r="E24" s="189">
        <v>14</v>
      </c>
      <c r="F24" s="553"/>
      <c r="G24" s="553"/>
      <c r="H24" s="553"/>
      <c r="I24" s="553"/>
      <c r="J24" s="553"/>
      <c r="K24" s="553"/>
    </row>
    <row r="25" spans="1:11" s="71" customFormat="1" ht="18.649999999999999" customHeight="1" x14ac:dyDescent="0.35">
      <c r="A25" s="205">
        <v>6</v>
      </c>
      <c r="B25" s="208" t="s">
        <v>322</v>
      </c>
      <c r="C25" s="161"/>
      <c r="D25" s="200"/>
      <c r="E25" s="201">
        <v>20</v>
      </c>
      <c r="F25" s="553"/>
      <c r="G25" s="553"/>
      <c r="H25" s="553"/>
      <c r="I25" s="553"/>
      <c r="J25" s="553"/>
      <c r="K25" s="553"/>
    </row>
    <row r="26" spans="1:11" s="71" customFormat="1" ht="18.649999999999999" customHeight="1" x14ac:dyDescent="0.35">
      <c r="A26" s="173"/>
      <c r="B26" s="211" t="s">
        <v>323</v>
      </c>
      <c r="C26" s="162" t="s">
        <v>654</v>
      </c>
      <c r="D26" s="200">
        <v>400</v>
      </c>
      <c r="E26" s="201">
        <v>20</v>
      </c>
      <c r="F26" s="553"/>
      <c r="G26" s="553"/>
      <c r="H26" s="553"/>
      <c r="I26" s="553"/>
      <c r="J26" s="553"/>
      <c r="K26" s="553"/>
    </row>
    <row r="27" spans="1:11" s="71" customFormat="1" ht="18.649999999999999" customHeight="1" x14ac:dyDescent="0.35">
      <c r="A27" s="205">
        <v>7</v>
      </c>
      <c r="B27" s="208" t="s">
        <v>66</v>
      </c>
      <c r="C27" s="161"/>
      <c r="D27" s="200"/>
      <c r="E27" s="199">
        <f>SUM(E28:E28)</f>
        <v>11.4</v>
      </c>
      <c r="F27" s="553"/>
      <c r="G27" s="553"/>
      <c r="H27" s="553"/>
      <c r="I27" s="553"/>
      <c r="J27" s="553"/>
      <c r="K27" s="553"/>
    </row>
    <row r="28" spans="1:11" s="71" customFormat="1" ht="18.649999999999999" customHeight="1" x14ac:dyDescent="0.35">
      <c r="A28" s="205"/>
      <c r="B28" s="211" t="s">
        <v>324</v>
      </c>
      <c r="C28" s="162" t="s">
        <v>791</v>
      </c>
      <c r="D28" s="200">
        <v>76</v>
      </c>
      <c r="E28" s="199">
        <v>11.4</v>
      </c>
      <c r="F28" s="553"/>
      <c r="G28" s="553"/>
      <c r="H28" s="553"/>
      <c r="I28" s="553"/>
      <c r="J28" s="553"/>
      <c r="K28" s="553"/>
    </row>
    <row r="29" spans="1:11" s="71" customFormat="1" ht="18.649999999999999" customHeight="1" x14ac:dyDescent="0.35">
      <c r="A29" s="68" t="s">
        <v>8</v>
      </c>
      <c r="B29" s="69" t="s">
        <v>168</v>
      </c>
      <c r="C29" s="68"/>
      <c r="D29" s="68"/>
      <c r="E29" s="196">
        <f>E30+E35+E37+E39</f>
        <v>588</v>
      </c>
      <c r="F29" s="553"/>
      <c r="G29" s="553"/>
      <c r="H29" s="553"/>
      <c r="I29" s="553"/>
      <c r="J29" s="553"/>
      <c r="K29" s="553"/>
    </row>
    <row r="30" spans="1:11" s="3" customFormat="1" x14ac:dyDescent="0.35">
      <c r="A30" s="534">
        <v>1</v>
      </c>
      <c r="B30" s="38" t="s">
        <v>13</v>
      </c>
      <c r="C30" s="534"/>
      <c r="D30" s="534"/>
      <c r="E30" s="197">
        <f>SUM(E31:E31)</f>
        <v>510</v>
      </c>
      <c r="F30" s="40"/>
      <c r="G30" s="40"/>
      <c r="H30" s="40"/>
      <c r="I30" s="40"/>
      <c r="J30" s="40"/>
      <c r="K30" s="40"/>
    </row>
    <row r="31" spans="1:11" s="3" customFormat="1" x14ac:dyDescent="0.35">
      <c r="A31" s="37" t="s">
        <v>69</v>
      </c>
      <c r="B31" s="32" t="s">
        <v>21</v>
      </c>
      <c r="C31" s="31"/>
      <c r="D31" s="31"/>
      <c r="E31" s="202">
        <f>SUM(E32:E34)</f>
        <v>510</v>
      </c>
      <c r="F31" s="40"/>
      <c r="G31" s="40"/>
      <c r="H31" s="40"/>
      <c r="I31" s="40"/>
      <c r="J31" s="40"/>
      <c r="K31" s="40"/>
    </row>
    <row r="32" spans="1:11" s="3" customFormat="1" x14ac:dyDescent="0.35">
      <c r="A32" s="31"/>
      <c r="B32" s="50" t="s">
        <v>23</v>
      </c>
      <c r="C32" s="31" t="s">
        <v>767</v>
      </c>
      <c r="D32" s="31">
        <v>17</v>
      </c>
      <c r="E32" s="202">
        <v>170</v>
      </c>
      <c r="F32" s="40"/>
      <c r="G32" s="40"/>
      <c r="H32" s="40"/>
      <c r="I32" s="40"/>
      <c r="J32" s="40"/>
      <c r="K32" s="40"/>
    </row>
    <row r="33" spans="1:11" s="3" customFormat="1" x14ac:dyDescent="0.35">
      <c r="A33" s="31"/>
      <c r="B33" s="50" t="s">
        <v>24</v>
      </c>
      <c r="C33" s="47" t="s">
        <v>767</v>
      </c>
      <c r="D33" s="31">
        <v>24</v>
      </c>
      <c r="E33" s="202">
        <v>140</v>
      </c>
      <c r="F33" s="40"/>
      <c r="G33" s="40"/>
      <c r="H33" s="40"/>
      <c r="I33" s="40"/>
      <c r="J33" s="40"/>
      <c r="K33" s="40"/>
    </row>
    <row r="34" spans="1:11" s="3" customFormat="1" x14ac:dyDescent="0.35">
      <c r="A34" s="31"/>
      <c r="B34" s="50" t="s">
        <v>25</v>
      </c>
      <c r="C34" s="47" t="s">
        <v>767</v>
      </c>
      <c r="D34" s="31">
        <v>22</v>
      </c>
      <c r="E34" s="202">
        <v>200</v>
      </c>
      <c r="F34" s="40"/>
      <c r="G34" s="40"/>
      <c r="H34" s="40"/>
      <c r="I34" s="40"/>
      <c r="J34" s="40"/>
      <c r="K34" s="40"/>
    </row>
    <row r="35" spans="1:11" s="3" customFormat="1" x14ac:dyDescent="0.35">
      <c r="A35" s="534">
        <v>2</v>
      </c>
      <c r="B35" s="51" t="s">
        <v>14</v>
      </c>
      <c r="C35" s="47"/>
      <c r="D35" s="31"/>
      <c r="E35" s="197">
        <f>SUM(E36:E36)</f>
        <v>21</v>
      </c>
      <c r="F35" s="40"/>
      <c r="G35" s="40"/>
      <c r="H35" s="40"/>
      <c r="I35" s="40"/>
      <c r="J35" s="40"/>
      <c r="K35" s="40"/>
    </row>
    <row r="36" spans="1:11" s="3" customFormat="1" x14ac:dyDescent="0.35">
      <c r="A36" s="534" t="s">
        <v>69</v>
      </c>
      <c r="B36" s="32" t="s">
        <v>313</v>
      </c>
      <c r="C36" s="31" t="s">
        <v>790</v>
      </c>
      <c r="D36" s="37">
        <v>8</v>
      </c>
      <c r="E36" s="202">
        <v>21</v>
      </c>
      <c r="F36" s="40"/>
      <c r="G36" s="40"/>
      <c r="H36" s="40"/>
      <c r="I36" s="40"/>
      <c r="J36" s="40"/>
      <c r="K36" s="40"/>
    </row>
    <row r="37" spans="1:11" s="3" customFormat="1" x14ac:dyDescent="0.35">
      <c r="A37" s="534">
        <v>3</v>
      </c>
      <c r="B37" s="51" t="s">
        <v>32</v>
      </c>
      <c r="C37" s="31"/>
      <c r="D37" s="534"/>
      <c r="E37" s="552">
        <f>E38</f>
        <v>17</v>
      </c>
      <c r="F37" s="40"/>
      <c r="G37" s="40"/>
      <c r="H37" s="40"/>
      <c r="I37" s="40"/>
      <c r="J37" s="40"/>
      <c r="K37" s="40"/>
    </row>
    <row r="38" spans="1:11" s="3" customFormat="1" ht="16.5" x14ac:dyDescent="0.35">
      <c r="A38" s="173" t="s">
        <v>69</v>
      </c>
      <c r="B38" s="175" t="s">
        <v>314</v>
      </c>
      <c r="C38" s="31" t="s">
        <v>654</v>
      </c>
      <c r="D38" s="31">
        <v>1700</v>
      </c>
      <c r="E38" s="202">
        <v>17</v>
      </c>
      <c r="F38" s="40"/>
      <c r="G38" s="40"/>
      <c r="H38" s="40"/>
      <c r="I38" s="40"/>
      <c r="J38" s="40"/>
      <c r="K38" s="40"/>
    </row>
    <row r="39" spans="1:11" s="3" customFormat="1" ht="16.5" x14ac:dyDescent="0.35">
      <c r="A39" s="205">
        <v>4</v>
      </c>
      <c r="B39" s="212" t="s">
        <v>61</v>
      </c>
      <c r="C39" s="214"/>
      <c r="D39" s="161"/>
      <c r="E39" s="197">
        <f>E40</f>
        <v>40</v>
      </c>
      <c r="F39" s="40"/>
      <c r="G39" s="40"/>
      <c r="H39" s="40"/>
      <c r="I39" s="40"/>
      <c r="J39" s="40"/>
      <c r="K39" s="40"/>
    </row>
    <row r="40" spans="1:11" s="3" customFormat="1" ht="16.5" x14ac:dyDescent="0.35">
      <c r="A40" s="173" t="s">
        <v>69</v>
      </c>
      <c r="B40" s="528" t="s">
        <v>318</v>
      </c>
      <c r="C40" s="214" t="s">
        <v>654</v>
      </c>
      <c r="D40" s="162">
        <v>1500</v>
      </c>
      <c r="E40" s="202">
        <v>40</v>
      </c>
      <c r="F40" s="40"/>
      <c r="G40" s="40"/>
      <c r="H40" s="40"/>
      <c r="I40" s="40"/>
      <c r="J40" s="40"/>
      <c r="K40" s="40"/>
    </row>
    <row r="41" spans="1:11" s="3" customFormat="1" ht="16.5" x14ac:dyDescent="0.35">
      <c r="A41" s="68" t="s">
        <v>31</v>
      </c>
      <c r="B41" s="69" t="s">
        <v>181</v>
      </c>
      <c r="C41" s="551"/>
      <c r="D41" s="68"/>
      <c r="E41" s="366">
        <f>E42+E48+E50+E54+E57+E59</f>
        <v>964</v>
      </c>
      <c r="F41" s="40"/>
      <c r="G41" s="40"/>
      <c r="H41" s="40"/>
      <c r="I41" s="40"/>
      <c r="J41" s="40"/>
      <c r="K41" s="40"/>
    </row>
    <row r="42" spans="1:11" s="3" customFormat="1" ht="16.5" x14ac:dyDescent="0.35">
      <c r="A42" s="534">
        <v>1</v>
      </c>
      <c r="B42" s="38" t="s">
        <v>13</v>
      </c>
      <c r="C42" s="162"/>
      <c r="D42" s="534"/>
      <c r="E42" s="197">
        <f>SUM(E43:E44)</f>
        <v>680</v>
      </c>
      <c r="F42" s="40"/>
      <c r="G42" s="40"/>
      <c r="H42" s="40"/>
      <c r="I42" s="40"/>
      <c r="J42" s="40"/>
      <c r="K42" s="40"/>
    </row>
    <row r="43" spans="1:11" s="3" customFormat="1" ht="16.5" x14ac:dyDescent="0.35">
      <c r="A43" s="37" t="s">
        <v>69</v>
      </c>
      <c r="B43" s="32" t="s">
        <v>325</v>
      </c>
      <c r="C43" s="162" t="s">
        <v>767</v>
      </c>
      <c r="D43" s="31">
        <v>1</v>
      </c>
      <c r="E43" s="202">
        <v>30</v>
      </c>
      <c r="F43" s="40"/>
      <c r="G43" s="40"/>
      <c r="H43" s="40"/>
      <c r="I43" s="40"/>
      <c r="J43" s="40"/>
      <c r="K43" s="40"/>
    </row>
    <row r="44" spans="1:11" s="3" customFormat="1" ht="16.5" x14ac:dyDescent="0.35">
      <c r="A44" s="37" t="s">
        <v>69</v>
      </c>
      <c r="B44" s="32" t="s">
        <v>21</v>
      </c>
      <c r="C44" s="161"/>
      <c r="D44" s="31"/>
      <c r="E44" s="202">
        <f>SUM(E45:E47)</f>
        <v>650</v>
      </c>
      <c r="F44" s="40"/>
      <c r="G44" s="40"/>
      <c r="H44" s="40"/>
      <c r="I44" s="40"/>
      <c r="J44" s="40"/>
      <c r="K44" s="40"/>
    </row>
    <row r="45" spans="1:11" s="3" customFormat="1" ht="16.5" x14ac:dyDescent="0.35">
      <c r="A45" s="31"/>
      <c r="B45" s="50" t="s">
        <v>23</v>
      </c>
      <c r="C45" s="162" t="s">
        <v>767</v>
      </c>
      <c r="D45" s="31">
        <v>30</v>
      </c>
      <c r="E45" s="202">
        <v>300</v>
      </c>
      <c r="F45" s="40"/>
      <c r="G45" s="40"/>
      <c r="H45" s="40"/>
      <c r="I45" s="40"/>
      <c r="J45" s="40"/>
      <c r="K45" s="40"/>
    </row>
    <row r="46" spans="1:11" s="3" customFormat="1" x14ac:dyDescent="0.35">
      <c r="A46" s="31"/>
      <c r="B46" s="50" t="s">
        <v>24</v>
      </c>
      <c r="C46" s="47" t="s">
        <v>767</v>
      </c>
      <c r="D46" s="31">
        <v>20</v>
      </c>
      <c r="E46" s="202">
        <v>100</v>
      </c>
      <c r="F46" s="40"/>
      <c r="G46" s="40"/>
      <c r="H46" s="40"/>
      <c r="I46" s="40"/>
      <c r="J46" s="40"/>
      <c r="K46" s="40"/>
    </row>
    <row r="47" spans="1:11" s="3" customFormat="1" x14ac:dyDescent="0.35">
      <c r="A47" s="31"/>
      <c r="B47" s="50" t="s">
        <v>25</v>
      </c>
      <c r="C47" s="47" t="s">
        <v>767</v>
      </c>
      <c r="D47" s="31">
        <v>25</v>
      </c>
      <c r="E47" s="202">
        <v>250</v>
      </c>
      <c r="F47" s="40"/>
      <c r="G47" s="40"/>
      <c r="H47" s="40"/>
      <c r="I47" s="40"/>
      <c r="J47" s="40"/>
      <c r="K47" s="40"/>
    </row>
    <row r="48" spans="1:11" x14ac:dyDescent="0.35">
      <c r="A48" s="534">
        <v>2</v>
      </c>
      <c r="B48" s="51" t="s">
        <v>14</v>
      </c>
      <c r="C48" s="534"/>
      <c r="D48" s="37"/>
      <c r="E48" s="197">
        <f>E49</f>
        <v>80</v>
      </c>
    </row>
    <row r="49" spans="1:5" x14ac:dyDescent="0.35">
      <c r="A49" s="534" t="s">
        <v>69</v>
      </c>
      <c r="B49" s="32" t="s">
        <v>846</v>
      </c>
      <c r="C49" s="31" t="s">
        <v>790</v>
      </c>
      <c r="D49" s="31">
        <v>16</v>
      </c>
      <c r="E49" s="202">
        <v>80</v>
      </c>
    </row>
    <row r="50" spans="1:5" x14ac:dyDescent="0.35">
      <c r="A50" s="534">
        <v>3</v>
      </c>
      <c r="B50" s="51" t="s">
        <v>32</v>
      </c>
      <c r="C50" s="534"/>
      <c r="D50" s="31"/>
      <c r="E50" s="192">
        <f>SUM(E51:E53)</f>
        <v>44</v>
      </c>
    </row>
    <row r="51" spans="1:5" ht="16.5" x14ac:dyDescent="0.35">
      <c r="A51" s="173" t="s">
        <v>69</v>
      </c>
      <c r="B51" s="175" t="s">
        <v>320</v>
      </c>
      <c r="C51" s="162" t="s">
        <v>654</v>
      </c>
      <c r="D51" s="31">
        <v>1000</v>
      </c>
      <c r="E51" s="202">
        <v>15</v>
      </c>
    </row>
    <row r="52" spans="1:5" ht="16.5" x14ac:dyDescent="0.35">
      <c r="A52" s="173" t="s">
        <v>69</v>
      </c>
      <c r="B52" s="175" t="s">
        <v>315</v>
      </c>
      <c r="C52" s="162" t="s">
        <v>739</v>
      </c>
      <c r="D52" s="31">
        <v>300</v>
      </c>
      <c r="E52" s="189">
        <v>24</v>
      </c>
    </row>
    <row r="53" spans="1:5" ht="16.5" x14ac:dyDescent="0.35">
      <c r="A53" s="173" t="s">
        <v>69</v>
      </c>
      <c r="B53" s="175" t="s">
        <v>316</v>
      </c>
      <c r="C53" s="162" t="s">
        <v>654</v>
      </c>
      <c r="D53" s="31">
        <v>900</v>
      </c>
      <c r="E53" s="202">
        <v>5</v>
      </c>
    </row>
    <row r="54" spans="1:5" ht="16.5" x14ac:dyDescent="0.35">
      <c r="A54" s="205">
        <v>4</v>
      </c>
      <c r="B54" s="174" t="s">
        <v>204</v>
      </c>
      <c r="C54" s="161"/>
      <c r="D54" s="31"/>
      <c r="E54" s="197">
        <f>E55</f>
        <v>50</v>
      </c>
    </row>
    <row r="55" spans="1:5" ht="16.5" x14ac:dyDescent="0.35">
      <c r="A55" s="213" t="s">
        <v>69</v>
      </c>
      <c r="B55" s="207" t="s">
        <v>230</v>
      </c>
      <c r="C55" s="206"/>
      <c r="D55" s="534"/>
      <c r="E55" s="202">
        <f>SUM(E56:E56)</f>
        <v>50</v>
      </c>
    </row>
    <row r="56" spans="1:5" ht="16.5" x14ac:dyDescent="0.35">
      <c r="A56" s="173"/>
      <c r="B56" s="175" t="s">
        <v>326</v>
      </c>
      <c r="C56" s="162" t="s">
        <v>654</v>
      </c>
      <c r="D56" s="31">
        <v>350</v>
      </c>
      <c r="E56" s="202">
        <v>50</v>
      </c>
    </row>
    <row r="57" spans="1:5" ht="16.5" x14ac:dyDescent="0.35">
      <c r="A57" s="205">
        <v>5</v>
      </c>
      <c r="B57" s="208" t="s">
        <v>211</v>
      </c>
      <c r="C57" s="161"/>
      <c r="D57" s="161"/>
      <c r="E57" s="197">
        <f>E58</f>
        <v>35</v>
      </c>
    </row>
    <row r="58" spans="1:5" ht="16.5" x14ac:dyDescent="0.35">
      <c r="A58" s="173"/>
      <c r="B58" s="210" t="s">
        <v>291</v>
      </c>
      <c r="C58" s="214" t="s">
        <v>676</v>
      </c>
      <c r="D58" s="162">
        <v>1</v>
      </c>
      <c r="E58" s="202">
        <v>35</v>
      </c>
    </row>
    <row r="59" spans="1:5" ht="16.5" x14ac:dyDescent="0.35">
      <c r="A59" s="205">
        <v>6</v>
      </c>
      <c r="B59" s="174" t="s">
        <v>322</v>
      </c>
      <c r="C59" s="161"/>
      <c r="D59" s="200"/>
      <c r="E59" s="549">
        <f>E60</f>
        <v>75</v>
      </c>
    </row>
    <row r="60" spans="1:5" ht="33" x14ac:dyDescent="0.35">
      <c r="A60" s="173"/>
      <c r="B60" s="175" t="s">
        <v>318</v>
      </c>
      <c r="C60" s="162" t="s">
        <v>654</v>
      </c>
      <c r="D60" s="200">
        <v>2200</v>
      </c>
      <c r="E60" s="199">
        <v>75</v>
      </c>
    </row>
    <row r="61" spans="1:5" x14ac:dyDescent="0.35">
      <c r="A61" s="15" t="s">
        <v>35</v>
      </c>
      <c r="B61" s="16" t="s">
        <v>251</v>
      </c>
      <c r="C61" s="17"/>
      <c r="D61" s="17"/>
      <c r="E61" s="152">
        <f>E62+E68+E72+E76+E84+E92+E94</f>
        <v>1369.0500000000002</v>
      </c>
    </row>
    <row r="62" spans="1:5" x14ac:dyDescent="0.35">
      <c r="A62" s="74">
        <v>1</v>
      </c>
      <c r="B62" s="38" t="s">
        <v>13</v>
      </c>
      <c r="C62" s="86"/>
      <c r="D62" s="74"/>
      <c r="E62" s="194">
        <f>E63+E64</f>
        <v>625</v>
      </c>
    </row>
    <row r="63" spans="1:5" x14ac:dyDescent="0.35">
      <c r="A63" s="37" t="s">
        <v>69</v>
      </c>
      <c r="B63" s="32" t="s">
        <v>328</v>
      </c>
      <c r="C63" s="31" t="s">
        <v>767</v>
      </c>
      <c r="D63" s="48">
        <v>9</v>
      </c>
      <c r="E63" s="203">
        <v>180</v>
      </c>
    </row>
    <row r="64" spans="1:5" x14ac:dyDescent="0.35">
      <c r="A64" s="37" t="s">
        <v>69</v>
      </c>
      <c r="B64" s="32" t="s">
        <v>21</v>
      </c>
      <c r="C64" s="31"/>
      <c r="D64" s="48"/>
      <c r="E64" s="203">
        <f>SUM(E65:E67)</f>
        <v>445</v>
      </c>
    </row>
    <row r="65" spans="1:5" x14ac:dyDescent="0.35">
      <c r="A65" s="31"/>
      <c r="B65" s="50" t="s">
        <v>23</v>
      </c>
      <c r="C65" s="47" t="s">
        <v>767</v>
      </c>
      <c r="D65" s="31">
        <v>19</v>
      </c>
      <c r="E65" s="203">
        <v>285</v>
      </c>
    </row>
    <row r="66" spans="1:5" x14ac:dyDescent="0.35">
      <c r="A66" s="31"/>
      <c r="B66" s="50" t="s">
        <v>24</v>
      </c>
      <c r="C66" s="47" t="s">
        <v>767</v>
      </c>
      <c r="D66" s="31">
        <v>20</v>
      </c>
      <c r="E66" s="203">
        <v>80</v>
      </c>
    </row>
    <row r="67" spans="1:5" x14ac:dyDescent="0.35">
      <c r="A67" s="31"/>
      <c r="B67" s="50" t="s">
        <v>25</v>
      </c>
      <c r="C67" s="47" t="s">
        <v>767</v>
      </c>
      <c r="D67" s="31">
        <v>16</v>
      </c>
      <c r="E67" s="203">
        <v>80</v>
      </c>
    </row>
    <row r="68" spans="1:5" x14ac:dyDescent="0.35">
      <c r="A68" s="74">
        <v>2</v>
      </c>
      <c r="B68" s="51" t="s">
        <v>14</v>
      </c>
      <c r="C68" s="86"/>
      <c r="D68" s="74"/>
      <c r="E68" s="187">
        <f>SUM(E69:E71)</f>
        <v>35.6</v>
      </c>
    </row>
    <row r="69" spans="1:5" x14ac:dyDescent="0.35">
      <c r="A69" s="37"/>
      <c r="B69" s="32" t="s">
        <v>348</v>
      </c>
      <c r="C69" s="31" t="s">
        <v>790</v>
      </c>
      <c r="D69" s="31">
        <v>6</v>
      </c>
      <c r="E69" s="202">
        <v>22</v>
      </c>
    </row>
    <row r="70" spans="1:5" x14ac:dyDescent="0.35">
      <c r="A70" s="37"/>
      <c r="B70" s="32" t="s">
        <v>329</v>
      </c>
      <c r="C70" s="31" t="s">
        <v>791</v>
      </c>
      <c r="D70" s="31">
        <v>4</v>
      </c>
      <c r="E70" s="194">
        <v>4</v>
      </c>
    </row>
    <row r="71" spans="1:5" x14ac:dyDescent="0.35">
      <c r="A71" s="37"/>
      <c r="B71" s="32" t="s">
        <v>330</v>
      </c>
      <c r="C71" s="31" t="s">
        <v>791</v>
      </c>
      <c r="D71" s="31">
        <v>8</v>
      </c>
      <c r="E71" s="188">
        <v>9.6</v>
      </c>
    </row>
    <row r="72" spans="1:5" x14ac:dyDescent="0.35">
      <c r="A72" s="74">
        <v>3</v>
      </c>
      <c r="B72" s="51" t="s">
        <v>32</v>
      </c>
      <c r="C72" s="86"/>
      <c r="D72" s="74"/>
      <c r="E72" s="203">
        <f>SUM(E73:E75)</f>
        <v>34.950000000000003</v>
      </c>
    </row>
    <row r="73" spans="1:5" ht="16.5" x14ac:dyDescent="0.35">
      <c r="A73" s="173" t="s">
        <v>69</v>
      </c>
      <c r="B73" s="175" t="s">
        <v>331</v>
      </c>
      <c r="C73" s="162" t="s">
        <v>654</v>
      </c>
      <c r="D73" s="31">
        <v>1490</v>
      </c>
      <c r="E73" s="203">
        <v>15</v>
      </c>
    </row>
    <row r="74" spans="1:5" ht="16.5" x14ac:dyDescent="0.35">
      <c r="A74" s="173" t="s">
        <v>69</v>
      </c>
      <c r="B74" s="175" t="s">
        <v>332</v>
      </c>
      <c r="C74" s="162" t="s">
        <v>739</v>
      </c>
      <c r="D74" s="31">
        <v>150</v>
      </c>
      <c r="E74" s="187">
        <v>10.5</v>
      </c>
    </row>
    <row r="75" spans="1:5" ht="16.5" x14ac:dyDescent="0.35">
      <c r="A75" s="173" t="s">
        <v>69</v>
      </c>
      <c r="B75" s="175" t="s">
        <v>316</v>
      </c>
      <c r="C75" s="162" t="s">
        <v>654</v>
      </c>
      <c r="D75" s="31">
        <v>35</v>
      </c>
      <c r="E75" s="187">
        <v>9.4499999999999993</v>
      </c>
    </row>
    <row r="76" spans="1:5" ht="16.5" x14ac:dyDescent="0.35">
      <c r="A76" s="205">
        <v>4</v>
      </c>
      <c r="B76" s="174" t="s">
        <v>204</v>
      </c>
      <c r="C76" s="161"/>
      <c r="D76" s="74"/>
      <c r="E76" s="188">
        <f>E77+E81</f>
        <v>433.1</v>
      </c>
    </row>
    <row r="77" spans="1:5" ht="16.5" x14ac:dyDescent="0.35">
      <c r="A77" s="213" t="s">
        <v>69</v>
      </c>
      <c r="B77" s="207" t="s">
        <v>226</v>
      </c>
      <c r="C77" s="206"/>
      <c r="D77" s="48"/>
      <c r="E77" s="189">
        <f>SUM(E78:E80)</f>
        <v>232.8</v>
      </c>
    </row>
    <row r="78" spans="1:5" ht="33" x14ac:dyDescent="0.35">
      <c r="A78" s="173"/>
      <c r="B78" s="175" t="s">
        <v>333</v>
      </c>
      <c r="C78" s="162" t="s">
        <v>654</v>
      </c>
      <c r="D78" s="31">
        <v>560</v>
      </c>
      <c r="E78" s="189">
        <v>16.8</v>
      </c>
    </row>
    <row r="79" spans="1:5" ht="33" x14ac:dyDescent="0.35">
      <c r="A79" s="173"/>
      <c r="B79" s="175" t="s">
        <v>334</v>
      </c>
      <c r="C79" s="162" t="s">
        <v>717</v>
      </c>
      <c r="D79" s="31">
        <v>15</v>
      </c>
      <c r="E79" s="202">
        <v>66</v>
      </c>
    </row>
    <row r="80" spans="1:5" ht="16.5" x14ac:dyDescent="0.35">
      <c r="A80" s="173"/>
      <c r="B80" s="175" t="s">
        <v>335</v>
      </c>
      <c r="C80" s="162" t="s">
        <v>658</v>
      </c>
      <c r="D80" s="31">
        <v>0.4</v>
      </c>
      <c r="E80" s="202">
        <v>150</v>
      </c>
    </row>
    <row r="81" spans="1:5" ht="16.5" x14ac:dyDescent="0.35">
      <c r="A81" s="213" t="s">
        <v>69</v>
      </c>
      <c r="B81" s="207" t="s">
        <v>230</v>
      </c>
      <c r="C81" s="206"/>
      <c r="D81" s="74"/>
      <c r="E81" s="189">
        <f>SUM(E82:E83)</f>
        <v>200.3</v>
      </c>
    </row>
    <row r="82" spans="1:5" ht="16.5" x14ac:dyDescent="0.35">
      <c r="A82" s="173"/>
      <c r="B82" s="175" t="s">
        <v>807</v>
      </c>
      <c r="C82" s="162" t="s">
        <v>654</v>
      </c>
      <c r="D82" s="31">
        <f>1400*1*0.5</f>
        <v>700</v>
      </c>
      <c r="E82" s="189">
        <v>40.299999999999997</v>
      </c>
    </row>
    <row r="83" spans="1:5" ht="23.25" customHeight="1" x14ac:dyDescent="0.35">
      <c r="A83" s="173"/>
      <c r="B83" s="178" t="s">
        <v>336</v>
      </c>
      <c r="C83" s="487" t="s">
        <v>654</v>
      </c>
      <c r="D83" s="31">
        <v>690</v>
      </c>
      <c r="E83" s="188">
        <v>160</v>
      </c>
    </row>
    <row r="84" spans="1:5" ht="16.5" x14ac:dyDescent="0.35">
      <c r="A84" s="205">
        <v>5</v>
      </c>
      <c r="B84" s="208" t="s">
        <v>211</v>
      </c>
      <c r="C84" s="161"/>
      <c r="D84" s="161"/>
      <c r="E84" s="187">
        <f>E85+E90</f>
        <v>62.4</v>
      </c>
    </row>
    <row r="85" spans="1:5" ht="16.5" x14ac:dyDescent="0.35">
      <c r="A85" s="213" t="s">
        <v>69</v>
      </c>
      <c r="B85" s="207" t="s">
        <v>46</v>
      </c>
      <c r="C85" s="206"/>
      <c r="D85" s="206"/>
      <c r="E85" s="188">
        <f>SUM(E86:E89)</f>
        <v>53.4</v>
      </c>
    </row>
    <row r="86" spans="1:5" ht="16.5" x14ac:dyDescent="0.35">
      <c r="A86" s="173"/>
      <c r="B86" s="210" t="s">
        <v>327</v>
      </c>
      <c r="C86" s="214" t="s">
        <v>683</v>
      </c>
      <c r="D86" s="214">
        <v>1</v>
      </c>
      <c r="E86" s="188">
        <v>16</v>
      </c>
    </row>
    <row r="87" spans="1:5" ht="16.5" x14ac:dyDescent="0.35">
      <c r="A87" s="173"/>
      <c r="B87" s="210" t="s">
        <v>337</v>
      </c>
      <c r="C87" s="214" t="s">
        <v>683</v>
      </c>
      <c r="D87" s="214">
        <v>6</v>
      </c>
      <c r="E87" s="189">
        <v>14.4</v>
      </c>
    </row>
    <row r="88" spans="1:5" ht="16.5" x14ac:dyDescent="0.35">
      <c r="A88" s="209"/>
      <c r="B88" s="175" t="s">
        <v>338</v>
      </c>
      <c r="C88" s="487" t="s">
        <v>739</v>
      </c>
      <c r="D88" s="215">
        <v>80</v>
      </c>
      <c r="E88" s="202">
        <v>8</v>
      </c>
    </row>
    <row r="89" spans="1:5" ht="16.5" x14ac:dyDescent="0.35">
      <c r="A89" s="209"/>
      <c r="B89" s="175" t="s">
        <v>339</v>
      </c>
      <c r="C89" s="487" t="s">
        <v>767</v>
      </c>
      <c r="D89" s="215">
        <v>1</v>
      </c>
      <c r="E89" s="203">
        <v>15</v>
      </c>
    </row>
    <row r="90" spans="1:5" ht="16.5" x14ac:dyDescent="0.35">
      <c r="A90" s="213" t="s">
        <v>69</v>
      </c>
      <c r="B90" s="207" t="s">
        <v>56</v>
      </c>
      <c r="C90" s="206"/>
      <c r="D90" s="206"/>
      <c r="E90" s="203">
        <f>E91</f>
        <v>9</v>
      </c>
    </row>
    <row r="91" spans="1:5" ht="16.5" x14ac:dyDescent="0.35">
      <c r="A91" s="173"/>
      <c r="B91" s="175" t="s">
        <v>340</v>
      </c>
      <c r="C91" s="162" t="s">
        <v>676</v>
      </c>
      <c r="D91" s="162">
        <v>4</v>
      </c>
      <c r="E91" s="203">
        <v>9</v>
      </c>
    </row>
    <row r="92" spans="1:5" ht="16.5" x14ac:dyDescent="0.35">
      <c r="A92" s="205">
        <v>6</v>
      </c>
      <c r="B92" s="174" t="s">
        <v>61</v>
      </c>
      <c r="C92" s="161"/>
      <c r="D92" s="161"/>
      <c r="E92" s="197">
        <v>120</v>
      </c>
    </row>
    <row r="93" spans="1:5" ht="33" x14ac:dyDescent="0.35">
      <c r="A93" s="173" t="s">
        <v>69</v>
      </c>
      <c r="B93" s="175" t="s">
        <v>318</v>
      </c>
      <c r="C93" s="162" t="s">
        <v>654</v>
      </c>
      <c r="D93" s="162">
        <v>4360</v>
      </c>
      <c r="E93" s="202">
        <v>120</v>
      </c>
    </row>
    <row r="94" spans="1:5" ht="16.5" x14ac:dyDescent="0.35">
      <c r="A94" s="205">
        <v>7</v>
      </c>
      <c r="B94" s="174" t="s">
        <v>66</v>
      </c>
      <c r="C94" s="161"/>
      <c r="D94" s="161"/>
      <c r="E94" s="191">
        <f>SUM(E95:E95)</f>
        <v>58</v>
      </c>
    </row>
    <row r="95" spans="1:5" ht="16.5" x14ac:dyDescent="0.35">
      <c r="A95" s="173" t="s">
        <v>69</v>
      </c>
      <c r="B95" s="175" t="s">
        <v>341</v>
      </c>
      <c r="C95" s="162" t="s">
        <v>791</v>
      </c>
      <c r="D95" s="162">
        <v>29</v>
      </c>
      <c r="E95" s="191">
        <v>58</v>
      </c>
    </row>
    <row r="96" spans="1:5" x14ac:dyDescent="0.35">
      <c r="A96" s="15" t="s">
        <v>44</v>
      </c>
      <c r="B96" s="16" t="s">
        <v>342</v>
      </c>
      <c r="C96" s="17"/>
      <c r="D96" s="17"/>
      <c r="E96" s="152">
        <f>E97+E102+E106+E109+E115+E117</f>
        <v>462.79999999999995</v>
      </c>
    </row>
    <row r="97" spans="1:5" x14ac:dyDescent="0.35">
      <c r="A97" s="72">
        <v>1</v>
      </c>
      <c r="B97" s="10" t="s">
        <v>13</v>
      </c>
      <c r="C97" s="84"/>
      <c r="D97" s="72"/>
      <c r="E97" s="194">
        <f>E98</f>
        <v>113</v>
      </c>
    </row>
    <row r="98" spans="1:5" x14ac:dyDescent="0.35">
      <c r="A98" s="1"/>
      <c r="B98" s="18" t="s">
        <v>21</v>
      </c>
      <c r="C98" s="1"/>
      <c r="D98" s="1"/>
      <c r="E98" s="195">
        <f>SUM(E99:E101)</f>
        <v>113</v>
      </c>
    </row>
    <row r="99" spans="1:5" x14ac:dyDescent="0.35">
      <c r="A99" s="1"/>
      <c r="B99" s="30" t="s">
        <v>23</v>
      </c>
      <c r="C99" s="29" t="s">
        <v>767</v>
      </c>
      <c r="D99" s="1">
        <v>3</v>
      </c>
      <c r="E99" s="203">
        <v>45</v>
      </c>
    </row>
    <row r="100" spans="1:5" x14ac:dyDescent="0.35">
      <c r="A100" s="1"/>
      <c r="B100" s="30" t="s">
        <v>24</v>
      </c>
      <c r="C100" s="29" t="s">
        <v>767</v>
      </c>
      <c r="D100" s="1">
        <v>4</v>
      </c>
      <c r="E100" s="203">
        <v>20</v>
      </c>
    </row>
    <row r="101" spans="1:5" x14ac:dyDescent="0.35">
      <c r="A101" s="1"/>
      <c r="B101" s="30" t="s">
        <v>25</v>
      </c>
      <c r="C101" s="29" t="s">
        <v>767</v>
      </c>
      <c r="D101" s="1">
        <v>6</v>
      </c>
      <c r="E101" s="203">
        <v>48</v>
      </c>
    </row>
    <row r="102" spans="1:5" x14ac:dyDescent="0.35">
      <c r="A102" s="72">
        <v>2</v>
      </c>
      <c r="B102" s="19" t="s">
        <v>14</v>
      </c>
      <c r="C102" s="84"/>
      <c r="D102" s="72"/>
      <c r="E102" s="203">
        <f>SUM(E103:E105)</f>
        <v>27</v>
      </c>
    </row>
    <row r="103" spans="1:5" x14ac:dyDescent="0.35">
      <c r="A103" s="72"/>
      <c r="B103" s="18" t="s">
        <v>349</v>
      </c>
      <c r="C103" s="1" t="s">
        <v>790</v>
      </c>
      <c r="D103" s="136">
        <v>3</v>
      </c>
      <c r="E103" s="203">
        <v>11</v>
      </c>
    </row>
    <row r="104" spans="1:5" x14ac:dyDescent="0.35">
      <c r="A104" s="158"/>
      <c r="B104" s="18" t="s">
        <v>329</v>
      </c>
      <c r="C104" s="1" t="s">
        <v>791</v>
      </c>
      <c r="D104" s="136">
        <v>3</v>
      </c>
      <c r="E104" s="203">
        <v>6</v>
      </c>
    </row>
    <row r="105" spans="1:5" x14ac:dyDescent="0.35">
      <c r="A105" s="158"/>
      <c r="B105" s="32" t="s">
        <v>330</v>
      </c>
      <c r="C105" s="31" t="s">
        <v>791</v>
      </c>
      <c r="D105" s="136">
        <v>5</v>
      </c>
      <c r="E105" s="202">
        <v>10</v>
      </c>
    </row>
    <row r="106" spans="1:5" x14ac:dyDescent="0.35">
      <c r="A106" s="72">
        <v>3</v>
      </c>
      <c r="B106" s="19" t="s">
        <v>32</v>
      </c>
      <c r="C106" s="84"/>
      <c r="D106" s="72"/>
      <c r="E106" s="187">
        <f>SUM(E107:E108)</f>
        <v>23.7</v>
      </c>
    </row>
    <row r="107" spans="1:5" ht="16.5" x14ac:dyDescent="0.35">
      <c r="A107" s="167"/>
      <c r="B107" s="168" t="s">
        <v>315</v>
      </c>
      <c r="C107" s="484" t="s">
        <v>739</v>
      </c>
      <c r="D107" s="1">
        <f>120+53</f>
        <v>173</v>
      </c>
      <c r="E107" s="188">
        <v>12.1</v>
      </c>
    </row>
    <row r="108" spans="1:5" ht="16.5" x14ac:dyDescent="0.35">
      <c r="A108" s="167"/>
      <c r="B108" s="168" t="s">
        <v>316</v>
      </c>
      <c r="C108" s="484" t="s">
        <v>654</v>
      </c>
      <c r="D108" s="1">
        <f>14+60</f>
        <v>74</v>
      </c>
      <c r="E108" s="188">
        <f>3.8+7.8</f>
        <v>11.6</v>
      </c>
    </row>
    <row r="109" spans="1:5" ht="16.5" x14ac:dyDescent="0.35">
      <c r="A109" s="169">
        <v>4</v>
      </c>
      <c r="B109" s="170" t="s">
        <v>204</v>
      </c>
      <c r="C109" s="485"/>
      <c r="D109" s="72"/>
      <c r="E109" s="192">
        <f>E110</f>
        <v>220.7</v>
      </c>
    </row>
    <row r="110" spans="1:5" ht="16.5" x14ac:dyDescent="0.35">
      <c r="A110" s="171"/>
      <c r="B110" s="172" t="s">
        <v>230</v>
      </c>
      <c r="C110" s="486"/>
      <c r="D110" s="72"/>
      <c r="E110" s="189">
        <f>SUM(E111:E114)</f>
        <v>220.7</v>
      </c>
    </row>
    <row r="111" spans="1:5" ht="20.25" customHeight="1" x14ac:dyDescent="0.35">
      <c r="A111" s="167"/>
      <c r="B111" s="168" t="s">
        <v>317</v>
      </c>
      <c r="C111" s="484" t="s">
        <v>717</v>
      </c>
      <c r="D111" s="1">
        <v>12</v>
      </c>
      <c r="E111" s="203">
        <v>54</v>
      </c>
    </row>
    <row r="112" spans="1:5" ht="16.5" x14ac:dyDescent="0.35">
      <c r="A112" s="167"/>
      <c r="B112" s="176" t="s">
        <v>344</v>
      </c>
      <c r="C112" s="488" t="s">
        <v>654</v>
      </c>
      <c r="D112" s="1">
        <v>860</v>
      </c>
      <c r="E112" s="203">
        <v>129</v>
      </c>
    </row>
    <row r="113" spans="1:5" ht="16.5" x14ac:dyDescent="0.35">
      <c r="A113" s="167"/>
      <c r="B113" s="176" t="s">
        <v>345</v>
      </c>
      <c r="C113" s="488" t="s">
        <v>793</v>
      </c>
      <c r="D113" s="1">
        <v>14</v>
      </c>
      <c r="E113" s="203">
        <v>7.7</v>
      </c>
    </row>
    <row r="114" spans="1:5" ht="16.5" x14ac:dyDescent="0.35">
      <c r="A114" s="177"/>
      <c r="B114" s="178" t="s">
        <v>343</v>
      </c>
      <c r="C114" s="487" t="s">
        <v>654</v>
      </c>
      <c r="D114" s="31">
        <v>600</v>
      </c>
      <c r="E114" s="203">
        <v>30</v>
      </c>
    </row>
    <row r="115" spans="1:5" ht="16.5" x14ac:dyDescent="0.35">
      <c r="A115" s="169">
        <v>5</v>
      </c>
      <c r="B115" s="179" t="s">
        <v>211</v>
      </c>
      <c r="C115" s="489"/>
      <c r="D115" s="72"/>
      <c r="E115" s="194">
        <v>16</v>
      </c>
    </row>
    <row r="116" spans="1:5" ht="16.5" x14ac:dyDescent="0.35">
      <c r="A116" s="171" t="s">
        <v>69</v>
      </c>
      <c r="B116" s="180" t="s">
        <v>346</v>
      </c>
      <c r="C116" s="490" t="s">
        <v>683</v>
      </c>
      <c r="D116" s="1">
        <v>1</v>
      </c>
      <c r="E116" s="203">
        <v>16</v>
      </c>
    </row>
    <row r="117" spans="1:5" ht="16.5" x14ac:dyDescent="0.35">
      <c r="A117" s="205">
        <v>6</v>
      </c>
      <c r="B117" s="174" t="s">
        <v>66</v>
      </c>
      <c r="C117" s="161"/>
      <c r="D117" s="161"/>
      <c r="E117" s="192">
        <f>SUM(E118:E118)</f>
        <v>62.4</v>
      </c>
    </row>
    <row r="118" spans="1:5" ht="16.5" x14ac:dyDescent="0.35">
      <c r="A118" s="173" t="s">
        <v>69</v>
      </c>
      <c r="B118" s="181" t="s">
        <v>347</v>
      </c>
      <c r="C118" s="488" t="s">
        <v>791</v>
      </c>
      <c r="D118" s="162">
        <v>52</v>
      </c>
      <c r="E118" s="187">
        <v>62.4</v>
      </c>
    </row>
  </sheetData>
  <mergeCells count="7">
    <mergeCell ref="A1:E1"/>
    <mergeCell ref="A3:A4"/>
    <mergeCell ref="B3:B4"/>
    <mergeCell ref="D3:D4"/>
    <mergeCell ref="E3:E4"/>
    <mergeCell ref="C3:C4"/>
    <mergeCell ref="D2:E2"/>
  </mergeCells>
  <pageMargins left="0.7" right="0.2"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 (XÃ) Hà Linh</vt:lpstr>
      <vt:lpstr>(THÔN) Hà Linh</vt:lpstr>
      <vt:lpstr>(XÃ) HƯƠNG LIÊN</vt:lpstr>
      <vt:lpstr>(THÔN) HƯƠNG LIÊN</vt:lpstr>
      <vt:lpstr>(XÃ) HƯƠNG LÂM</vt:lpstr>
      <vt:lpstr>(THÔN) HƯƠNG LÂM</vt:lpstr>
      <vt:lpstr>(XÃ) ĐIỀN MỸ</vt:lpstr>
      <vt:lpstr>(THÔN) ĐIỀN MỸ</vt:lpstr>
      <vt:lpstr>(THÔN) HƯƠNG THỦY</vt:lpstr>
      <vt:lpstr>(THÔN) HÒA HẢI</vt:lpstr>
      <vt:lpstr>(THÔN)HƯƠNG BÌNH</vt:lpstr>
      <vt:lpstr>(THÔN) PHÚC ĐỒNG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Vanxuan</cp:lastModifiedBy>
  <cp:lastPrinted>2022-04-22T09:03:05Z</cp:lastPrinted>
  <dcterms:created xsi:type="dcterms:W3CDTF">2021-01-20T05:38:28Z</dcterms:created>
  <dcterms:modified xsi:type="dcterms:W3CDTF">2022-04-23T04:25:43Z</dcterms:modified>
</cp:coreProperties>
</file>